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66" yWindow="59071" windowWidth="0" windowHeight="22200" tabRatio="500" activeTab="0"/>
  </bookViews>
  <sheets>
    <sheet name="Overview" sheetId="1" r:id="rId1"/>
    <sheet name="23-4 Bonuses" sheetId="2" r:id="rId2"/>
    <sheet name="Assumptions" sheetId="3" r:id="rId3"/>
    <sheet name="Affordability" sheetId="4" r:id="rId4"/>
    <sheet name="Pro Forma" sheetId="5" r:id="rId5"/>
    <sheet name="Policy" sheetId="6" r:id="rId6"/>
    <sheet name="Local Data" sheetId="7" r:id="rId7"/>
  </sheets>
  <externalReferences>
    <externalReference r:id="rId10"/>
  </externalReferences>
  <definedNames>
    <definedName name="PI_ParkingSize">'[1]Physical Inputs'!$C$85</definedName>
    <definedName name="PI_Structured">'[1]Physical Inputs'!$B$70</definedName>
  </definedNames>
  <calcPr fullCalcOnLoad="1"/>
</workbook>
</file>

<file path=xl/sharedStrings.xml><?xml version="1.0" encoding="utf-8"?>
<sst xmlns="http://schemas.openxmlformats.org/spreadsheetml/2006/main" count="1041" uniqueCount="436">
  <si>
    <t>Produced by ECONorthwest for the City of Austin CodeNEXT Density Bonus Evaluation</t>
  </si>
  <si>
    <t>Zone designation</t>
  </si>
  <si>
    <t>DC</t>
  </si>
  <si>
    <t>Commercial Core</t>
  </si>
  <si>
    <t>Downtown Core</t>
  </si>
  <si>
    <t>NA</t>
  </si>
  <si>
    <t>No</t>
  </si>
  <si>
    <t>Max Units in Main Building</t>
  </si>
  <si>
    <t>Max Units per Site (Incl. ADU)</t>
  </si>
  <si>
    <t>Max DUA</t>
  </si>
  <si>
    <t>Max FAR</t>
  </si>
  <si>
    <t>Max Height (ft)</t>
  </si>
  <si>
    <t>Parking Adjustment for Affordable Housing (Stall Reduction/Affordable Unit)</t>
  </si>
  <si>
    <t>CodeNEXT Proposed Bonuses</t>
  </si>
  <si>
    <t>Value</t>
  </si>
  <si>
    <t>Multifamily Vacancy Rate (%)</t>
  </si>
  <si>
    <t>Market Metrics</t>
  </si>
  <si>
    <t>Multifamily Market Rent ($/sq ft/month)</t>
  </si>
  <si>
    <t>Residential Multi-Unit Sales Price ($/sq ft)</t>
  </si>
  <si>
    <t>Office Vacancy Rate (%)</t>
  </si>
  <si>
    <t>Office Market Rent ($/sq ft/yr)</t>
  </si>
  <si>
    <t>Parking Lease Rate - Residential ($/stall/month)</t>
  </si>
  <si>
    <t>Parking Lease Vacancy - Residential (%)</t>
  </si>
  <si>
    <t>Parking Lease Rate - Office ($/stall/month)</t>
  </si>
  <si>
    <t>Parking Lease Vacancy - Office (%)</t>
  </si>
  <si>
    <t>Average HOA Fee - ($/sq ft)</t>
  </si>
  <si>
    <t>Affordability Policy</t>
  </si>
  <si>
    <t>HUD Median Family Income (4 person household)</t>
  </si>
  <si>
    <t>Target depth of affordability - Rental (% of MFI)</t>
  </si>
  <si>
    <t>Target depth of affordability - For Sale (% of MFI)</t>
  </si>
  <si>
    <t>Surface parking ($/stall)</t>
  </si>
  <si>
    <t>Parking Hard Costs</t>
  </si>
  <si>
    <t>Wrapped deck parking ($/stall)</t>
  </si>
  <si>
    <t>Integrated deck ($/stall)</t>
  </si>
  <si>
    <t>Podium parking ($/stall)</t>
  </si>
  <si>
    <t>Construction Hard Costs</t>
  </si>
  <si>
    <t>Wood siding wood frame 2/3 story residential - Walkup ($/sq ft)</t>
  </si>
  <si>
    <t>Wood siding wood frame 3/4 story residential - Elevator ($/sq ft)</t>
  </si>
  <si>
    <t>Low-rise wood frame on podium ($/sq ft)</t>
  </si>
  <si>
    <t>High-rise residential ($/sq ft)</t>
  </si>
  <si>
    <t>Concrete Office Tower ($/sq ft)</t>
  </si>
  <si>
    <t>Low-rise Office Building ($/sq ft)</t>
  </si>
  <si>
    <t>Landscaping ($/sq ft)</t>
  </si>
  <si>
    <t>Cost premium of for-sale housing (% greater than for-rent)</t>
  </si>
  <si>
    <t>Residential Operating Cost (% of rent)</t>
  </si>
  <si>
    <t>Office Operating Cost (% of rent)</t>
  </si>
  <si>
    <t>Hard Cost Contingency (% of other hard cost)</t>
  </si>
  <si>
    <t>Soft Costs (% of hard costs)</t>
  </si>
  <si>
    <t>Developer Fee (% of hard+soft costs)</t>
  </si>
  <si>
    <t>Sales Costs Incl. Commission (% of sales price)</t>
  </si>
  <si>
    <t>CAP Rate - Residential (%)</t>
  </si>
  <si>
    <t>Investment Metrics</t>
  </si>
  <si>
    <t>Return on Cost Requirement (%)</t>
  </si>
  <si>
    <t>CAP Rate - Office/Commercial (%)</t>
  </si>
  <si>
    <t>Multifamily Units in Austin (Citywide Average)</t>
  </si>
  <si>
    <t>Income</t>
  </si>
  <si>
    <t>Residential units</t>
  </si>
  <si>
    <t>Unrestricted units</t>
  </si>
  <si>
    <t>Market rate leasable sq ft</t>
  </si>
  <si>
    <t>Market rent total</t>
  </si>
  <si>
    <t>Operating expense</t>
  </si>
  <si>
    <t>Vacancy expense</t>
  </si>
  <si>
    <t>Construction cost</t>
  </si>
  <si>
    <t>Residential area</t>
  </si>
  <si>
    <t>Landscaping</t>
  </si>
  <si>
    <t>Developer fee</t>
  </si>
  <si>
    <t>Residential For-Sale Models</t>
  </si>
  <si>
    <t>Residential Rental Models</t>
  </si>
  <si>
    <t>Bonus units</t>
  </si>
  <si>
    <t>Gross Income</t>
  </si>
  <si>
    <t>Soft cost</t>
  </si>
  <si>
    <t>Contingency</t>
  </si>
  <si>
    <t>Total Project Cost</t>
  </si>
  <si>
    <t>Going In CAP Target</t>
  </si>
  <si>
    <t>Land Budget</t>
  </si>
  <si>
    <t>Returns</t>
  </si>
  <si>
    <t>Feasible?</t>
  </si>
  <si>
    <t>Market rent per sq ft</t>
  </si>
  <si>
    <t>Gross Residential Income</t>
  </si>
  <si>
    <t>Net Residential Operating Income</t>
  </si>
  <si>
    <t>Net Parking Operating Income</t>
  </si>
  <si>
    <t>Total Net Operating Income</t>
  </si>
  <si>
    <t>Gross parking revenue</t>
  </si>
  <si>
    <t>HUD 2017 Values</t>
  </si>
  <si>
    <t>Notes</t>
  </si>
  <si>
    <t>Average unit size (sq ft)</t>
  </si>
  <si>
    <t>Development Costs</t>
  </si>
  <si>
    <t>Operations Costs</t>
  </si>
  <si>
    <t>Maximum income toward rent (% of annual income)</t>
  </si>
  <si>
    <t>Based on CoStar and CMR data</t>
  </si>
  <si>
    <t>Based on developer interviews, public meeting feedback, NHCD input</t>
  </si>
  <si>
    <t>Proposed policy</t>
  </si>
  <si>
    <t>CoStar data</t>
  </si>
  <si>
    <t>Calc</t>
  </si>
  <si>
    <t>Parking Operating Cost (% of revenue)</t>
  </si>
  <si>
    <t>Typical unit size (market rate and affordable)</t>
  </si>
  <si>
    <t>MFI 1-Person Household -- Studio</t>
  </si>
  <si>
    <t>https://www.austintexas.gov/sites/default/files/files/2016_HUD_MFI_Limits_ONLY_Eff_3-28-16__NHCD_FINAL.pdf</t>
  </si>
  <si>
    <t>MFI 2-Person Household -- 1 Bed</t>
  </si>
  <si>
    <t>MFI 3-Person Household -- 2 Bed</t>
  </si>
  <si>
    <t>MFI 4-Person Household -- 3 Bed</t>
  </si>
  <si>
    <t>Mortgage Interest Rate (APR)</t>
  </si>
  <si>
    <t>Mortgage term (Years)</t>
  </si>
  <si>
    <t>Assumed Downpayment (% of Home Purchase Price)</t>
  </si>
  <si>
    <t>Assumed</t>
  </si>
  <si>
    <t>Upfront Insurance (Total FHA UFMIP as % of Mortgage Amount)</t>
  </si>
  <si>
    <t>FHA 2017; https://portal.hud.gov/hudportal/documents/huddoc?id=17-07ml.pdf</t>
  </si>
  <si>
    <t>Monthly Insurance (Annual FHA MIP as % of Mortgage Amount: High LTV)</t>
  </si>
  <si>
    <t>FHA 2017; &lt;=$615K mortgage w/ &gt;95% LTV; https://portal.hud.gov/hudportal/documents/huddoc?id=17-07ml.pdf</t>
  </si>
  <si>
    <t>Monthly Insurance (Annual FHA MIP as % of Mortgage Amount: Low LTV)</t>
  </si>
  <si>
    <t>FHA 2017; &lt;=$615K mortgage w/ &lt;=95% LTV; https://portal.hud.gov/hudportal/documents/huddoc?id=17-07ml.pdf</t>
  </si>
  <si>
    <t>Lower cut-off for MIP</t>
  </si>
  <si>
    <t>Upper cut-off for MIP</t>
  </si>
  <si>
    <t>Annual Homeowners Insurance Premium</t>
  </si>
  <si>
    <t>Estimate from http://www.turnerresidential.com/mortgage-calculator-austin-texas/</t>
  </si>
  <si>
    <t>Maximum Allowable HOA Fee (% of Maximum Housing Budget)</t>
  </si>
  <si>
    <t>Limit affordable HOA fees to the minimum charged for any market-rate unit, regardless of bedroom count or size?</t>
  </si>
  <si>
    <t>Property Tax Rate (Estimate including Homeowners Exemptions, etc.)</t>
  </si>
  <si>
    <t>Max Price Income Multiplier (Used by COA today)</t>
  </si>
  <si>
    <t>Includes property taxes</t>
  </si>
  <si>
    <t>This is the average list price for units of this size</t>
  </si>
  <si>
    <t>Assessments should reflect deed restrictions</t>
  </si>
  <si>
    <t>Maximum Housing Budget</t>
  </si>
  <si>
    <t>Maximum HOA Fee</t>
  </si>
  <si>
    <t>Maximum Mortgage Budget (Housing Budget - HOA - Taxes)</t>
  </si>
  <si>
    <t>Monthly MIP</t>
  </si>
  <si>
    <t>Monthly Homeowner's Insurance</t>
  </si>
  <si>
    <t>Monthly Payment</t>
  </si>
  <si>
    <t>Maximum Mortgage Amount</t>
  </si>
  <si>
    <t>Budget-based Affordable Home Price (incl. parking and storage purchase price)</t>
  </si>
  <si>
    <t>Estimated Price of a Market-Rate Unit</t>
  </si>
  <si>
    <t>STUDIO</t>
  </si>
  <si>
    <t>1-BED</t>
  </si>
  <si>
    <t>2-BED</t>
  </si>
  <si>
    <t>3-BED</t>
  </si>
  <si>
    <t>Parking stall reduction per affordable unit (stalls)</t>
  </si>
  <si>
    <t>Adjusted by COA NHCD at time of review</t>
  </si>
  <si>
    <t>Proposed policy; Based on HUD maximum</t>
  </si>
  <si>
    <t>HUD-Specified Incomes</t>
  </si>
  <si>
    <t>Maximum income toward housing (% Household Income)</t>
  </si>
  <si>
    <t>Estimated Assessed Property Value of an Affordable Unit as a Proportion of Market-rate Unit Price</t>
  </si>
  <si>
    <t>COA Multiplier-based Affordable Home Price</t>
  </si>
  <si>
    <t>Estimate based on conversation with taxing district</t>
  </si>
  <si>
    <t>Maximum Affordable Unit Sales Price Based on COA Multiplier Policy</t>
  </si>
  <si>
    <t>Maximum Affordable Unit Sales Price Based on HUD Housing Budget</t>
  </si>
  <si>
    <t>Market-rate HOA Fee ($/unit/month)</t>
  </si>
  <si>
    <t>Estimated Assessed Property Value of an Affordable Unit</t>
  </si>
  <si>
    <t>Proportion of units (%)</t>
  </si>
  <si>
    <t>Unit size (sq ft)</t>
  </si>
  <si>
    <t>Affordable multiplier (% of 4-person HH)</t>
  </si>
  <si>
    <t>Affordable Housing Rental Revenue</t>
  </si>
  <si>
    <t>Average Unit Price in Average Building</t>
  </si>
  <si>
    <t>Market price per unit</t>
  </si>
  <si>
    <t>Market sales total</t>
  </si>
  <si>
    <t>Sales expenses</t>
  </si>
  <si>
    <t>Required Return on Cost</t>
  </si>
  <si>
    <t>Effective Gross Income</t>
  </si>
  <si>
    <t>Underground/Tuckunder/Pit-Stacker parking ($/stall)</t>
  </si>
  <si>
    <t>Parking ratio - Market Rate Residential</t>
  </si>
  <si>
    <t>Per unit</t>
  </si>
  <si>
    <t>Parking ratio - Commercial (Market Demand)</t>
  </si>
  <si>
    <t>Per 1,000 sf</t>
  </si>
  <si>
    <t>Parking - surface</t>
  </si>
  <si>
    <t>Parking - podium</t>
  </si>
  <si>
    <t>Stalls in surface lot</t>
  </si>
  <si>
    <t>Stalls in podium</t>
  </si>
  <si>
    <t>Stalls in underground/tuckunder/pitstacker</t>
  </si>
  <si>
    <t>Parking - underground/tuckunder/pitStacker</t>
  </si>
  <si>
    <t>Residential (1 if yes, 0 if no)</t>
  </si>
  <si>
    <t>Office efficiency</t>
  </si>
  <si>
    <t>Residential efficiency</t>
  </si>
  <si>
    <t>Parking Stalls Total</t>
  </si>
  <si>
    <t>Building Height</t>
  </si>
  <si>
    <t>Residential cost psf</t>
  </si>
  <si>
    <t>Bonus Type</t>
  </si>
  <si>
    <t>DUA</t>
  </si>
  <si>
    <t>FAR</t>
  </si>
  <si>
    <t>Height</t>
  </si>
  <si>
    <t>Land area</t>
  </si>
  <si>
    <t>Building Height (stories)</t>
  </si>
  <si>
    <t>Floor area ratio</t>
  </si>
  <si>
    <t>Proportion of bonus upside to affordability</t>
  </si>
  <si>
    <t>Multiplier-based Affordable Home Price</t>
  </si>
  <si>
    <t>Maximum Price That Can Be Charged by Developer</t>
  </si>
  <si>
    <t>Zone Abbreviation</t>
  </si>
  <si>
    <t>Zone Name</t>
  </si>
  <si>
    <t>Base Values</t>
  </si>
  <si>
    <t xml:space="preserve">Max Value with Bonus Levers </t>
  </si>
  <si>
    <t>Most dense building form allowed</t>
  </si>
  <si>
    <t>R4A</t>
  </si>
  <si>
    <t>Residential 4A</t>
  </si>
  <si>
    <t>Multifamily</t>
  </si>
  <si>
    <t>Units/FAR</t>
  </si>
  <si>
    <t>R4B</t>
  </si>
  <si>
    <t>Residential 4B</t>
  </si>
  <si>
    <t>R4C</t>
  </si>
  <si>
    <t>Residential 4C</t>
  </si>
  <si>
    <t>RM1A</t>
  </si>
  <si>
    <t>Residential Multi-Unit 1A</t>
  </si>
  <si>
    <t xml:space="preserve">RM1B </t>
  </si>
  <si>
    <t>Residential Multi-Unit 1B</t>
  </si>
  <si>
    <t>DUA/FAR</t>
  </si>
  <si>
    <t>RM2A</t>
  </si>
  <si>
    <t>Residential Multi-Unit 2A</t>
  </si>
  <si>
    <t>RM2B</t>
  </si>
  <si>
    <t>RM3A</t>
  </si>
  <si>
    <t>RM4A</t>
  </si>
  <si>
    <t>RM5A</t>
  </si>
  <si>
    <t>Residential Multi-Unit 2B</t>
  </si>
  <si>
    <t>Residential Multi-Unit 3A</t>
  </si>
  <si>
    <t>Residential Multi-Unit 4A</t>
  </si>
  <si>
    <t>Residential Multi-Unit 5A</t>
  </si>
  <si>
    <t>Block form</t>
  </si>
  <si>
    <t>DUA/FAR/Height</t>
  </si>
  <si>
    <t>DUA/Height</t>
  </si>
  <si>
    <t>MU1A</t>
  </si>
  <si>
    <t>Mixed-Use 1A</t>
  </si>
  <si>
    <t>MU1B</t>
  </si>
  <si>
    <t>Mixed-Use 1B</t>
  </si>
  <si>
    <t>MU1C</t>
  </si>
  <si>
    <t>Mixed-Use 1C</t>
  </si>
  <si>
    <t>MU1D</t>
  </si>
  <si>
    <t>Mixed-Use 1D</t>
  </si>
  <si>
    <t>MU2A</t>
  </si>
  <si>
    <t>Mixed-Use 2A</t>
  </si>
  <si>
    <t>MU2A-A</t>
  </si>
  <si>
    <t>MU2B</t>
  </si>
  <si>
    <t>Mixed-Use 2B</t>
  </si>
  <si>
    <t>MU2B-A</t>
  </si>
  <si>
    <t>MU3A</t>
  </si>
  <si>
    <t>Mixed-Use 3A</t>
  </si>
  <si>
    <t>MU3A-A</t>
  </si>
  <si>
    <t>MU3B</t>
  </si>
  <si>
    <t>Mixed-Use 3B</t>
  </si>
  <si>
    <t>MU3B-A</t>
  </si>
  <si>
    <t>MU4A</t>
  </si>
  <si>
    <t>MU4A-A</t>
  </si>
  <si>
    <t>Mixed-Use 4A</t>
  </si>
  <si>
    <t>FAR/Height</t>
  </si>
  <si>
    <t>MU4B</t>
  </si>
  <si>
    <t>MU4B-A</t>
  </si>
  <si>
    <t>Mixed-Use 4B</t>
  </si>
  <si>
    <t>MU5A</t>
  </si>
  <si>
    <t>Mixed-Use 5A</t>
  </si>
  <si>
    <t>MS3A</t>
  </si>
  <si>
    <t>Main Street 3A</t>
  </si>
  <si>
    <t>Block Form</t>
  </si>
  <si>
    <t>MS3B</t>
  </si>
  <si>
    <t>Main Street 3B</t>
  </si>
  <si>
    <t>CC-40</t>
  </si>
  <si>
    <t>CC-60</t>
  </si>
  <si>
    <t>CC-80</t>
  </si>
  <si>
    <t>CC-120</t>
  </si>
  <si>
    <t>UC-80</t>
  </si>
  <si>
    <t>UC-120</t>
  </si>
  <si>
    <t>UC-180</t>
  </si>
  <si>
    <t>Urban Center</t>
  </si>
  <si>
    <t>Return on Cost Requirement - residential for sale (%)</t>
  </si>
  <si>
    <t>Residential</t>
  </si>
  <si>
    <t>Land Budget per sq ft</t>
  </si>
  <si>
    <t>Land budget per sq ft</t>
  </si>
  <si>
    <t>Unit valuation</t>
  </si>
  <si>
    <t>Market rate</t>
  </si>
  <si>
    <t>Rent per month per unit</t>
  </si>
  <si>
    <t>Operating expense per month per unit</t>
  </si>
  <si>
    <t>Affordable</t>
  </si>
  <si>
    <t>Vacancy expense per month per unit</t>
  </si>
  <si>
    <t>Rental</t>
  </si>
  <si>
    <t>Affordable vacancy rate</t>
  </si>
  <si>
    <t>Census Tracts (geoids)</t>
  </si>
  <si>
    <t>This workbook is broken out into the following tabs:</t>
  </si>
  <si>
    <t>AHBP Bonuses (by zone)</t>
  </si>
  <si>
    <t>Produced 4/2/18</t>
  </si>
  <si>
    <t>HUD factor modified based on City of Austin policy</t>
  </si>
  <si>
    <t>Proposed D3 policies layered</t>
  </si>
  <si>
    <t>This workbook demonstrates the methodology used to calibrate the proposed City of Austin CodeNEXT Affordable Housing Bonus Program (AHBP) as defined in CodeNEXT Draft 3 (D3).</t>
  </si>
  <si>
    <t>Assumptions used in the modeling were vetted by NHCD, affordable housing stakeholders, market rate developers, and community members in 2016 and 2017.</t>
  </si>
  <si>
    <t>ECONorthwest carried out analyses for each proposed D3 zone using numerous development prototypes and with inputs unique to locations throughout Austin.</t>
  </si>
  <si>
    <t>Mix and unit size were adjusted by prototype from this average to reflect market variation</t>
  </si>
  <si>
    <t>Table 23-3E-1040(C)</t>
  </si>
  <si>
    <t>Table 23-3E-1040(E)</t>
  </si>
  <si>
    <t>Table 23-3E-1040(B)</t>
  </si>
  <si>
    <t>Table 23-3E-1040(D)</t>
  </si>
  <si>
    <t>Category name</t>
  </si>
  <si>
    <t>A</t>
  </si>
  <si>
    <t>AA</t>
  </si>
  <si>
    <t>T</t>
  </si>
  <si>
    <t>TA</t>
  </si>
  <si>
    <t>B</t>
  </si>
  <si>
    <t>BA</t>
  </si>
  <si>
    <t>U</t>
  </si>
  <si>
    <t>UA</t>
  </si>
  <si>
    <t>C</t>
  </si>
  <si>
    <t>CA</t>
  </si>
  <si>
    <t>V</t>
  </si>
  <si>
    <t>VA</t>
  </si>
  <si>
    <t>D</t>
  </si>
  <si>
    <t>DA</t>
  </si>
  <si>
    <t>W</t>
  </si>
  <si>
    <t>WA</t>
  </si>
  <si>
    <t>E</t>
  </si>
  <si>
    <t>EA</t>
  </si>
  <si>
    <t>X</t>
  </si>
  <si>
    <t>XA</t>
  </si>
  <si>
    <t>F</t>
  </si>
  <si>
    <t>FA</t>
  </si>
  <si>
    <t>Y</t>
  </si>
  <si>
    <t>YA</t>
  </si>
  <si>
    <t>G</t>
  </si>
  <si>
    <t>GA</t>
  </si>
  <si>
    <t>Z</t>
  </si>
  <si>
    <t>ZA</t>
  </si>
  <si>
    <t>Black text</t>
  </si>
  <si>
    <t>Blue text</t>
  </si>
  <si>
    <t>Responsive Calculations:</t>
  </si>
  <si>
    <t>User Inputs:</t>
  </si>
  <si>
    <t>For-Sale</t>
  </si>
  <si>
    <t>23-3E Standard Table for "-A" zones (%)</t>
  </si>
  <si>
    <t>Tables for standard zones:</t>
  </si>
  <si>
    <t>Tables for "-A" zones:</t>
  </si>
  <si>
    <t>23-3E Standard Table for standard zones (%)</t>
  </si>
  <si>
    <t>Based on NHCD's Jonathan Tomko COA analysis (confirmed through web research)</t>
  </si>
  <si>
    <t>Consider HUD housing budget to inform affordability policy?</t>
  </si>
  <si>
    <t>Yes</t>
  </si>
  <si>
    <t>Affordable Price Result</t>
  </si>
  <si>
    <t>NHCD estimate</t>
  </si>
  <si>
    <t>NHCD Policy guidance</t>
  </si>
  <si>
    <t>Affordable Housing For-sale Pricing</t>
  </si>
  <si>
    <t>Affordable home price calculations</t>
  </si>
  <si>
    <t>Set-Aside Calcs (based on pro forma feasibility calculations)</t>
  </si>
  <si>
    <t>For illustrative purposes, this file distills the work that has occurred over many months on numerous itterations of CodeNEXT into an approachable Microsoft Excel format.</t>
  </si>
  <si>
    <t>Affordability target (% MFI)</t>
  </si>
  <si>
    <t>Maximum income toward purchase (% of annual income)</t>
  </si>
  <si>
    <t>NHCD policy guidance based on HUD standards</t>
  </si>
  <si>
    <t>Policy option considered by NHCD; Set to 100% to "eliminate" this policy limitation</t>
  </si>
  <si>
    <t>"Yes"/"No"; Policy option considered by NHCD</t>
  </si>
  <si>
    <t>Rental Units</t>
  </si>
  <si>
    <t>NHCD Policy</t>
  </si>
  <si>
    <t>Assume buyer qualifies for first-time buyer mortgage terms</t>
  </si>
  <si>
    <t>Cost of making a unit affordable compared to market rate</t>
  </si>
  <si>
    <t>Bonus upside that can pay for affordability</t>
  </si>
  <si>
    <t>For-sale</t>
  </si>
  <si>
    <t>Value of affordable unit</t>
  </si>
  <si>
    <t>Value of market rate unit</t>
  </si>
  <si>
    <t>Affordable unit For-Sale value</t>
  </si>
  <si>
    <t>Market Rate unit For-Sale value</t>
  </si>
  <si>
    <t>For-Sale Units</t>
  </si>
  <si>
    <t>Affordable unit Rental Value</t>
  </si>
  <si>
    <t>Market rate unit Rental Value</t>
  </si>
  <si>
    <t>Inputs were based on CoStar data, Capitol Market Research data, and conversations with real estate professionals and CodeNEXT stakeholders.</t>
  </si>
  <si>
    <t>This tab includes real estate feasibility calculations. The user of this workbook can change the development program assumptions to see how the calculations change by building type and size, which can vary considerably between CodeNEXT zones.</t>
  </si>
  <si>
    <t>The following policy choice is embedded in this calculation: If the cost of making an affordable unit is $0 (naturally occuring affordability and unlikely to be financially feasible), or if the bonus upside is less than $0, the policy will not require any affordable units</t>
  </si>
  <si>
    <t>On most tabs, there are values that can be changed that impact the outputs of the analysis. These various values are coded in the color blue.</t>
  </si>
  <si>
    <t>Stalls in wrap deck</t>
  </si>
  <si>
    <t>Stalls in integrated deck</t>
  </si>
  <si>
    <t>Parking - wrap</t>
  </si>
  <si>
    <t>Parking - integrated</t>
  </si>
  <si>
    <t>Landscaped area</t>
  </si>
  <si>
    <t>Going in CAP spread equivalent for residential rentals (bps)</t>
  </si>
  <si>
    <t>For Rent</t>
  </si>
  <si>
    <t>% of Bonus Units Set Aside</t>
  </si>
  <si>
    <t>% of Total Units Set Aside</t>
  </si>
  <si>
    <t>For Sale "-A" Zones</t>
  </si>
  <si>
    <t>For Rent "-A" Zones</t>
  </si>
  <si>
    <t>For Sale</t>
  </si>
  <si>
    <t>Upside from taking the bonus</t>
  </si>
  <si>
    <t>Commercial Rental Models</t>
  </si>
  <si>
    <t>In order to be conservative and conform to the simple policy tables found in the CodeNEXT chapter, the policy requirements are rounded down to the nearest value in the policy tables.</t>
  </si>
  <si>
    <t>This tab contains the assumptions that impact the affordability requirements on the 'Affordability' tab and the feasibility of development in the 'Pro Forma' tab. Any changes to these values will flow through the calculations on the 'Pro Forma' tab, influence the modeled development feasibility, and potentially alter the  affordability policy results on 'Policy' tab.</t>
  </si>
  <si>
    <t>This tab includes the bonus information as defined in CodeNEXT Draft 3 Chapter 23-4: "Zoning Code" for each zone with an AHBP bonus.</t>
  </si>
  <si>
    <t>These values are provided as a reference and do not flow through the calculations on other tabs.</t>
  </si>
  <si>
    <t>Assumes multiple parking reductions</t>
  </si>
  <si>
    <t>Affordable rent -- studio ($ / month)</t>
  </si>
  <si>
    <t>Affordable rent per unit reflecting the unit mix in the building ($ / month)</t>
  </si>
  <si>
    <t>Affordable rent -- 1 bed ($ / month)</t>
  </si>
  <si>
    <t>Affordable rent -- 2 bed ($ / month)</t>
  </si>
  <si>
    <t>Affordable rent -- 3 bed ($ / month)</t>
  </si>
  <si>
    <t>Maximum Affordable Price Charged by Developer (Flows into all other workbook calculations)</t>
  </si>
  <si>
    <t>Affordable price per unit reflecting the unit mix in the building</t>
  </si>
  <si>
    <t>Calc based on unit mix in the assumptions page</t>
  </si>
  <si>
    <t>Market rate Net Operating Income (NOI) per month per unit</t>
  </si>
  <si>
    <t>Affordable Net Operating Income (NOI) per month per unit</t>
  </si>
  <si>
    <t>This tab contains average rents and vacancies by census tract based on multiple data sources (CoStar, Capitol Market Research, real estate industry feedback). Users can apply these numbers in the 'Assumptions' tab to simulate the relative changes in feasibility by location. Feedback on these average values informed ECONorthwest's policy calculations, which used values based on new properties and distinguished by project characteristics.</t>
  </si>
  <si>
    <t>For Sale Tables:</t>
  </si>
  <si>
    <t>For Rent Tables:</t>
  </si>
  <si>
    <t>Residual Land Value for the base option (from 'Pro Forma' tab)</t>
  </si>
  <si>
    <t>Residual Land Value for the bonus option (from 'Pro Forma' tab)</t>
  </si>
  <si>
    <t>Affordable units that could be written down with bonus upside (#)</t>
  </si>
  <si>
    <t>From 'Pro Forma' tab</t>
  </si>
  <si>
    <t>Calc based on policy specification on the 'Assumptions' tab</t>
  </si>
  <si>
    <t>From 'Affordability' tab</t>
  </si>
  <si>
    <t>Calc based on NHCD methodology for calculating "buy down" cost of an affordable unit</t>
  </si>
  <si>
    <t>Percent of affordable units in bonus</t>
  </si>
  <si>
    <t>CodeNEXT unit requirement tables</t>
  </si>
  <si>
    <t>Market-rate units</t>
  </si>
  <si>
    <t>Development with Bonus (without affordability requirements applied)</t>
  </si>
  <si>
    <t>Resulting affordable unit set-aside requirement based on CodeNEXT policy tables</t>
  </si>
  <si>
    <t>Application of the resulting affordable unit set-aside requirements to the buildings tested on the 'Pro Forma' tab</t>
  </si>
  <si>
    <t>Based on buildings tested in the 'Pro Forma' tab</t>
  </si>
  <si>
    <t>Per the CodeNEXT policy, these values round up the nearest whole number of units</t>
  </si>
  <si>
    <t>Resulting percent of bonus units in the project required to be affordable</t>
  </si>
  <si>
    <t>Number of affordable units required if standard zoning applies</t>
  </si>
  <si>
    <t>Srandard zoning</t>
  </si>
  <si>
    <t>"-A" zoning</t>
  </si>
  <si>
    <t>Number of bonus units in the example buildings</t>
  </si>
  <si>
    <t>The calculations below include assumptions about hypothetical building programs that can be modified by the user.</t>
  </si>
  <si>
    <t>Many of the values on this page come from the assumptions page, including the market conditions, which strongly influence development feasibility.</t>
  </si>
  <si>
    <t>To understand whether the same building would work in different market conditions, keep the building  assumptions the same in this tab and modify the market variables in the 'Assumptions' tab.</t>
  </si>
  <si>
    <t>This workbook does NOT validate that the development program inputs comply with specific zoning entitlements.</t>
  </si>
  <si>
    <t>This tab is used to define the difference in value between a base building and a bonus building.</t>
  </si>
  <si>
    <t>Any cell highlighed in peach below (with blue text) can be changed to simulate a different building.</t>
  </si>
  <si>
    <t>Some portion of the difference in value is used to subsidize affordable units, which is calculated on the 'Policy' tab.</t>
  </si>
  <si>
    <t>Development with Base Entitlements</t>
  </si>
  <si>
    <t>To calculate the feasibility of a "base" building, adjust the values in the column for the 'Development with Base Entitlements' to reflect a building under by-right entitlements.</t>
  </si>
  <si>
    <t>Likewise, adjust the inputs in the right-most column to define a building with a bonus.</t>
  </si>
  <si>
    <t>It is important to note that the user of this file is responsible for making sure the development characteristics conform to the zoning code (bonus variables can be found on the '23-4 Bonuses' tab).</t>
  </si>
  <si>
    <t>Austin MLS</t>
  </si>
  <si>
    <t>Based on modeled results from CoStar and CMR data</t>
  </si>
  <si>
    <t>In all cases, construction cost assumptions should be modified to reflect the type of building that is being constructed.</t>
  </si>
  <si>
    <t>Changes from 4/2/2018 version of this workbook:</t>
  </si>
  <si>
    <t>1. Corrected calculation error for construction costs for for-sale units in the Pre Aff Pro Forma tab</t>
  </si>
  <si>
    <t>Note: this error was only present in this example excel file and does not impact the policy calibration or any D3 policy recommendations or proposed administrative procedures.</t>
  </si>
  <si>
    <t>Commercial (1 if yes, 0 if no)</t>
  </si>
  <si>
    <t>Commercial Square feet (leasable)</t>
  </si>
  <si>
    <t>Gross Commercial Income</t>
  </si>
  <si>
    <t>Bonus Commercial area</t>
  </si>
  <si>
    <t>Net Commercial Income</t>
  </si>
  <si>
    <t>Commercial cost psf</t>
  </si>
  <si>
    <t>Commercial area</t>
  </si>
  <si>
    <t>If the zone you are testing does not include commercial, populate the blue text in the commercial pro forma with 0 values (the commercial pro forma does impact the housing policy calculation).</t>
  </si>
  <si>
    <t>Based on the maximum per square foot land value of base building alternatives (including rental, for-sale, and commercial) on the 'Pro Forma' tab</t>
  </si>
  <si>
    <t>This tab includes the tables found in CodeNEXT Chapter 23-3E: "Affordable Housing" that spell out the affordability requirements proposed in Draft 3. Based on results from the 'Pro Forma' tab, the calculations on this tab determine the set-aside percents for both rental and ownership projects.</t>
  </si>
  <si>
    <t>This tab shows how the affordable rents and sales prices were calculated based on Austin's 4-person median family income (MFI) defined by U.S. Department of Housing &amp; Urban Development. Resulting outputs from this tab factor into the feasibility calculations on the 'Pro Forma' tab and flow through all the subsequent calculations, including the 'Policy' tab's results.</t>
  </si>
  <si>
    <t>Number of affordable units required if "-A" zoning applies</t>
  </si>
  <si>
    <t>23-3E Standard Table for standard zones (Geography Name)</t>
  </si>
  <si>
    <t>23-3E Standard Table for "-A" zones (Geography Name)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</si>
</sst>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0\ &quot;Units&quot;"/>
    <numFmt numFmtId="169" formatCode="0\ &quot;DUA&quot;"/>
    <numFmt numFmtId="170" formatCode="0\ &quot;Ft&quot;"/>
    <numFmt numFmtId="171" formatCode="0.00\ &quot;Fewer Stalls&quot;"/>
    <numFmt numFmtId="172" formatCode="_-&quot;$&quot;* #,##0_-;\-&quot;$&quot;* #,##0_-;_-&quot;$&quot;* &quot;-&quot;??_-;_-@_-"/>
    <numFmt numFmtId="173" formatCode="0.0%"/>
    <numFmt numFmtId="174" formatCode="_-* #,##0_-;\-* #,##0_-;_-* &quot;-&quot;??_-;_-@_-"/>
    <numFmt numFmtId="175" formatCode="#,###\ &quot;Sq Ft&quot;"/>
    <numFmt numFmtId="176" formatCode="_-&quot;$&quot;* #,##0.00_-&quot;/ Sq Ft&quot;"/>
    <numFmt numFmtId="177" formatCode="#,###\ &quot;Stalls&quot;"/>
    <numFmt numFmtId="178" formatCode="&quot;$&quot;##,##0\ &quot;/Year&quot;"/>
    <numFmt numFmtId="179" formatCode="0%\ &quot;of Household Income&quot;"/>
    <numFmt numFmtId="180" formatCode="0.00%\ &quot;APR&quot;"/>
    <numFmt numFmtId="181" formatCode="0\ &quot;Years&quot;"/>
    <numFmt numFmtId="182" formatCode="0.0%\ &quot;of Home Price&quot;"/>
    <numFmt numFmtId="183" formatCode="0.00%\ &quot;of Mortgage amount&quot;"/>
    <numFmt numFmtId="184" formatCode="0.000%\ &quot;of Home Price&quot;"/>
    <numFmt numFmtId="185" formatCode="0%\ &quot;of Housing Budget&quot;"/>
    <numFmt numFmtId="186" formatCode="&quot;$&quot;#,##0.00\ &quot;/Unit/Month&quot;"/>
    <numFmt numFmtId="187" formatCode="0.0%\ &quot;of Home Value&quot;"/>
    <numFmt numFmtId="188" formatCode="0%\ &quot;of MFI&quot;"/>
    <numFmt numFmtId="189" formatCode="0\ &quot;Times Relevant MFI&quot;"/>
    <numFmt numFmtId="190" formatCode="&quot;$&quot;#,##0;[Red]&quot;$&quot;#,##0"/>
    <numFmt numFmtId="191" formatCode="&quot;$&quot;#,##0.00\ &quot;/Month&quot;"/>
    <numFmt numFmtId="192" formatCode="&quot;$&quot;#,##0.00\ &quot;/Month&quot;;[Red]\-&quot;$&quot;#,##0.00\ &quot;/Month&quot;"/>
    <numFmt numFmtId="193" formatCode="&quot;$&quot;#,##0.00;[Red]&quot;$&quot;#,##0.00"/>
    <numFmt numFmtId="194" formatCode="&quot;$&quot;#,##0.00"/>
    <numFmt numFmtId="195" formatCode="&quot;$&quot;#,##0"/>
    <numFmt numFmtId="196" formatCode="_(&quot;$&quot;* #,##0_);_(&quot;$&quot;* \(#,##0\);_(&quot;$&quot;* &quot;-&quot;??_);_(@_)"/>
    <numFmt numFmtId="197" formatCode="&quot;$&quot;#,##0.0"/>
    <numFmt numFmtId="198" formatCode="0\ &quot;Stalls&quot;"/>
  </numFmts>
  <fonts count="102">
    <font>
      <sz val="12"/>
      <color theme="1"/>
      <name val="Calibri"/>
      <family val="2"/>
    </font>
    <font>
      <sz val="11"/>
      <color indexed="8"/>
      <name val="Calibri"/>
      <family val="2"/>
    </font>
    <font>
      <sz val="10"/>
      <name val="Arial"/>
      <family val="2"/>
    </font>
    <font>
      <sz val="12"/>
      <name val="Optima"/>
      <family val="2"/>
    </font>
    <font>
      <sz val="12"/>
      <name val="Calibri"/>
      <family val="2"/>
    </font>
    <font>
      <b/>
      <i/>
      <sz val="12"/>
      <name val="Optima"/>
      <family val="2"/>
    </font>
    <font>
      <sz val="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24"/>
      <color indexed="9"/>
      <name val="Calibri"/>
      <family val="2"/>
    </font>
    <font>
      <sz val="12"/>
      <color indexed="9"/>
      <name val="Calibri"/>
      <family val="2"/>
    </font>
    <font>
      <sz val="14"/>
      <color indexed="9"/>
      <name val="Calibri"/>
      <family val="2"/>
    </font>
    <font>
      <b/>
      <sz val="14"/>
      <color indexed="9"/>
      <name val="Calibri"/>
      <family val="2"/>
    </font>
    <font>
      <b/>
      <sz val="12"/>
      <color indexed="9"/>
      <name val="Calibri"/>
      <family val="2"/>
    </font>
    <font>
      <sz val="12"/>
      <color indexed="12"/>
      <name val="Calibri"/>
      <family val="2"/>
    </font>
    <font>
      <sz val="12"/>
      <color indexed="8"/>
      <name val="Optima"/>
      <family val="2"/>
    </font>
    <font>
      <b/>
      <i/>
      <sz val="12"/>
      <color indexed="8"/>
      <name val="Calibri"/>
      <family val="2"/>
    </font>
    <font>
      <b/>
      <u val="single"/>
      <sz val="12"/>
      <color indexed="8"/>
      <name val="Calibri"/>
      <family val="2"/>
    </font>
    <font>
      <sz val="12"/>
      <color indexed="23"/>
      <name val="Calibri"/>
      <family val="2"/>
    </font>
    <font>
      <b/>
      <sz val="12"/>
      <name val="Calibri"/>
      <family val="2"/>
    </font>
    <font>
      <b/>
      <sz val="12"/>
      <color indexed="8"/>
      <name val="Calibri"/>
      <family val="2"/>
    </font>
    <font>
      <i/>
      <sz val="12"/>
      <color indexed="8"/>
      <name val="Calibri"/>
      <family val="2"/>
    </font>
    <font>
      <b/>
      <sz val="12"/>
      <color indexed="8"/>
      <name val="Optima"/>
      <family val="2"/>
    </font>
    <font>
      <i/>
      <sz val="12"/>
      <color indexed="8"/>
      <name val="Optima"/>
      <family val="2"/>
    </font>
    <font>
      <b/>
      <i/>
      <sz val="12"/>
      <color indexed="8"/>
      <name val="Optima"/>
      <family val="2"/>
    </font>
    <font>
      <sz val="12"/>
      <color indexed="55"/>
      <name val="Calibri"/>
      <family val="2"/>
    </font>
    <font>
      <b/>
      <i/>
      <sz val="12"/>
      <color indexed="55"/>
      <name val="Calibri"/>
      <family val="2"/>
    </font>
    <font>
      <b/>
      <sz val="20"/>
      <color indexed="9"/>
      <name val="Calibri"/>
      <family val="2"/>
    </font>
    <font>
      <i/>
      <u val="single"/>
      <sz val="12"/>
      <color indexed="8"/>
      <name val="Calibri"/>
      <family val="2"/>
    </font>
    <font>
      <b/>
      <sz val="12"/>
      <color indexed="30"/>
      <name val="Calibri"/>
      <family val="2"/>
    </font>
    <font>
      <b/>
      <sz val="16"/>
      <color indexed="9"/>
      <name val="Calibri"/>
      <family val="2"/>
    </font>
    <font>
      <u val="single"/>
      <sz val="12"/>
      <color indexed="8"/>
      <name val="Calibri"/>
      <family val="2"/>
    </font>
    <font>
      <i/>
      <u val="single"/>
      <sz val="12"/>
      <name val="Calibri"/>
      <family val="2"/>
    </font>
    <font>
      <i/>
      <sz val="12"/>
      <name val="Calibri"/>
      <family val="2"/>
    </font>
    <font>
      <b/>
      <sz val="11"/>
      <name val="Calibri"/>
      <family val="2"/>
    </font>
    <font>
      <sz val="11"/>
      <name val="Calibri"/>
      <family val="2"/>
    </font>
    <font>
      <b/>
      <u val="single"/>
      <sz val="12"/>
      <name val="Calibri"/>
      <family val="2"/>
    </font>
    <font>
      <i/>
      <sz val="11"/>
      <color indexed="8"/>
      <name val="Calibri"/>
      <family val="2"/>
    </font>
    <font>
      <sz val="11"/>
      <color indexed="55"/>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24"/>
      <color theme="0"/>
      <name val="Calibri"/>
      <family val="2"/>
    </font>
    <font>
      <sz val="12"/>
      <color theme="0"/>
      <name val="Calibri"/>
      <family val="2"/>
    </font>
    <font>
      <sz val="14"/>
      <color theme="0"/>
      <name val="Calibri"/>
      <family val="2"/>
    </font>
    <font>
      <b/>
      <sz val="14"/>
      <color theme="0"/>
      <name val="Calibri"/>
      <family val="2"/>
    </font>
    <font>
      <b/>
      <sz val="12"/>
      <color theme="0"/>
      <name val="Calibri"/>
      <family val="2"/>
    </font>
    <font>
      <sz val="12"/>
      <color rgb="FF000000"/>
      <name val="Calibri"/>
      <family val="2"/>
    </font>
    <font>
      <sz val="12"/>
      <color rgb="FF0000FF"/>
      <name val="Calibri"/>
      <family val="2"/>
    </font>
    <font>
      <sz val="12"/>
      <color theme="1"/>
      <name val="Optima"/>
      <family val="2"/>
    </font>
    <font>
      <b/>
      <i/>
      <sz val="12"/>
      <color theme="1"/>
      <name val="Calibri"/>
      <family val="2"/>
    </font>
    <font>
      <b/>
      <u val="single"/>
      <sz val="12"/>
      <color theme="1"/>
      <name val="Calibri"/>
      <family val="2"/>
    </font>
    <font>
      <sz val="12"/>
      <color theme="0" tint="-0.4999699890613556"/>
      <name val="Calibri"/>
      <family val="2"/>
    </font>
    <font>
      <b/>
      <sz val="12"/>
      <color theme="1"/>
      <name val="Calibri"/>
      <family val="2"/>
    </font>
    <font>
      <b/>
      <i/>
      <sz val="12"/>
      <color rgb="FF000000"/>
      <name val="Calibri"/>
      <family val="2"/>
    </font>
    <font>
      <i/>
      <sz val="12"/>
      <color theme="1"/>
      <name val="Calibri"/>
      <family val="2"/>
    </font>
    <font>
      <sz val="12"/>
      <color theme="1" tint="0.49998000264167786"/>
      <name val="Calibri"/>
      <family val="2"/>
    </font>
    <font>
      <b/>
      <sz val="12"/>
      <color theme="1"/>
      <name val="Optima"/>
      <family val="2"/>
    </font>
    <font>
      <i/>
      <sz val="12"/>
      <color rgb="FF000000"/>
      <name val="Calibri"/>
      <family val="2"/>
    </font>
    <font>
      <b/>
      <sz val="12"/>
      <color rgb="FF000000"/>
      <name val="Calibri"/>
      <family val="2"/>
    </font>
    <font>
      <i/>
      <sz val="12"/>
      <color theme="1"/>
      <name val="Optima"/>
      <family val="2"/>
    </font>
    <font>
      <i/>
      <sz val="12"/>
      <color rgb="FF000000"/>
      <name val="Optima"/>
      <family val="2"/>
    </font>
    <font>
      <b/>
      <i/>
      <sz val="12"/>
      <color theme="1"/>
      <name val="Optima"/>
      <family val="2"/>
    </font>
    <font>
      <sz val="12"/>
      <color theme="0" tint="-0.24997000396251678"/>
      <name val="Calibri"/>
      <family val="2"/>
    </font>
    <font>
      <b/>
      <i/>
      <sz val="12"/>
      <color theme="0" tint="-0.24997000396251678"/>
      <name val="Calibri"/>
      <family val="2"/>
    </font>
    <font>
      <b/>
      <sz val="20"/>
      <color theme="0"/>
      <name val="Calibri"/>
      <family val="2"/>
    </font>
    <font>
      <i/>
      <u val="single"/>
      <sz val="12"/>
      <color theme="1"/>
      <name val="Calibri"/>
      <family val="2"/>
    </font>
    <font>
      <b/>
      <sz val="12"/>
      <color rgb="FF0070C0"/>
      <name val="Calibri"/>
      <family val="2"/>
    </font>
    <font>
      <b/>
      <sz val="16"/>
      <color theme="0"/>
      <name val="Calibri"/>
      <family val="2"/>
    </font>
    <font>
      <u val="single"/>
      <sz val="12"/>
      <color theme="1"/>
      <name val="Calibri"/>
      <family val="2"/>
    </font>
    <font>
      <sz val="12"/>
      <color theme="0" tint="-0.3499799966812134"/>
      <name val="Calibri"/>
      <family val="2"/>
    </font>
    <font>
      <i/>
      <sz val="11"/>
      <color theme="1"/>
      <name val="Calibri"/>
      <family val="2"/>
    </font>
    <font>
      <sz val="11"/>
      <color theme="0" tint="-0.2499700039625167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0000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DE9D9"/>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style="medium"/>
      <right/>
      <top style="thin"/>
      <bottom/>
    </border>
    <border>
      <left/>
      <right style="medium"/>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54"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2"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3">
    <xf numFmtId="0" fontId="0" fillId="0" borderId="0" xfId="0" applyFont="1" applyAlignment="1">
      <alignment/>
    </xf>
    <xf numFmtId="0" fontId="71" fillId="33" borderId="0" xfId="62" applyFont="1" applyFill="1">
      <alignment/>
      <protection/>
    </xf>
    <xf numFmtId="0" fontId="72" fillId="33" borderId="0" xfId="62" applyFont="1" applyFill="1">
      <alignment/>
      <protection/>
    </xf>
    <xf numFmtId="0" fontId="72" fillId="33" borderId="0" xfId="62" applyFont="1" applyFill="1" applyAlignment="1">
      <alignment horizontal="right"/>
      <protection/>
    </xf>
    <xf numFmtId="0" fontId="73" fillId="33" borderId="0" xfId="62" applyFont="1" applyFill="1" applyAlignment="1">
      <alignment horizontal="left"/>
      <protection/>
    </xf>
    <xf numFmtId="0" fontId="72" fillId="33" borderId="0" xfId="62" applyFont="1" applyFill="1" applyAlignment="1">
      <alignment horizontal="left"/>
      <protection/>
    </xf>
    <xf numFmtId="0" fontId="74" fillId="33" borderId="0" xfId="62" applyFont="1" applyFill="1">
      <alignment/>
      <protection/>
    </xf>
    <xf numFmtId="0" fontId="75" fillId="34" borderId="0" xfId="62" applyFont="1" applyFill="1">
      <alignment/>
      <protection/>
    </xf>
    <xf numFmtId="0" fontId="72" fillId="34" borderId="0" xfId="62" applyFont="1" applyFill="1" applyAlignment="1">
      <alignment horizontal="left"/>
      <protection/>
    </xf>
    <xf numFmtId="0" fontId="72" fillId="34" borderId="0" xfId="62" applyFont="1" applyFill="1" applyAlignment="1">
      <alignment horizontal="right"/>
      <protection/>
    </xf>
    <xf numFmtId="0" fontId="72" fillId="34" borderId="0" xfId="62" applyFont="1" applyFill="1">
      <alignment/>
      <protection/>
    </xf>
    <xf numFmtId="0" fontId="0" fillId="35" borderId="0" xfId="62" applyFill="1" applyAlignment="1">
      <alignment horizontal="left"/>
      <protection/>
    </xf>
    <xf numFmtId="0" fontId="0" fillId="35" borderId="0" xfId="62" applyFont="1" applyFill="1" applyAlignment="1">
      <alignment horizontal="left"/>
      <protection/>
    </xf>
    <xf numFmtId="0" fontId="0" fillId="35" borderId="0" xfId="62" applyFill="1" applyAlignment="1">
      <alignment horizontal="left" wrapText="1"/>
      <protection/>
    </xf>
    <xf numFmtId="0" fontId="0" fillId="35" borderId="0" xfId="62" applyFont="1" applyFill="1" applyAlignment="1">
      <alignment horizontal="left"/>
      <protection/>
    </xf>
    <xf numFmtId="0" fontId="75" fillId="34" borderId="0" xfId="62" applyFont="1" applyFill="1" applyAlignment="1">
      <alignment horizontal="left"/>
      <protection/>
    </xf>
    <xf numFmtId="168" fontId="0" fillId="35" borderId="0" xfId="62" applyNumberFormat="1" applyFill="1" applyAlignment="1">
      <alignment horizontal="left"/>
      <protection/>
    </xf>
    <xf numFmtId="169" fontId="0" fillId="35" borderId="0" xfId="62" applyNumberFormat="1" applyFill="1" applyAlignment="1">
      <alignment horizontal="left"/>
      <protection/>
    </xf>
    <xf numFmtId="0" fontId="0" fillId="35" borderId="0" xfId="62" applyNumberFormat="1" applyFill="1" applyAlignment="1">
      <alignment horizontal="left"/>
      <protection/>
    </xf>
    <xf numFmtId="170" fontId="0" fillId="35" borderId="0" xfId="62" applyNumberFormat="1" applyFill="1" applyAlignment="1">
      <alignment horizontal="left"/>
      <protection/>
    </xf>
    <xf numFmtId="170" fontId="0" fillId="35" borderId="0" xfId="62" applyNumberFormat="1" applyFont="1" applyFill="1" applyAlignment="1">
      <alignment horizontal="left"/>
      <protection/>
    </xf>
    <xf numFmtId="0" fontId="0" fillId="36" borderId="0" xfId="62" applyFill="1" applyAlignment="1">
      <alignment horizontal="left"/>
      <protection/>
    </xf>
    <xf numFmtId="168" fontId="0" fillId="36" borderId="0" xfId="62" applyNumberFormat="1" applyFill="1" applyAlignment="1">
      <alignment horizontal="left"/>
      <protection/>
    </xf>
    <xf numFmtId="169" fontId="0" fillId="36" borderId="0" xfId="62" applyNumberFormat="1" applyFill="1" applyAlignment="1">
      <alignment horizontal="left"/>
      <protection/>
    </xf>
    <xf numFmtId="170" fontId="0" fillId="36" borderId="0" xfId="62" applyNumberFormat="1" applyFill="1" applyAlignment="1">
      <alignment horizontal="left"/>
      <protection/>
    </xf>
    <xf numFmtId="0" fontId="0" fillId="37" borderId="0" xfId="62" applyFill="1">
      <alignment/>
      <protection/>
    </xf>
    <xf numFmtId="0" fontId="0" fillId="37" borderId="0" xfId="62" applyFill="1" applyAlignment="1">
      <alignment horizontal="right"/>
      <protection/>
    </xf>
    <xf numFmtId="0" fontId="76" fillId="37" borderId="0" xfId="0" applyFont="1" applyFill="1" applyAlignment="1">
      <alignment/>
    </xf>
    <xf numFmtId="0" fontId="0" fillId="37" borderId="0" xfId="0" applyFill="1" applyAlignment="1">
      <alignment/>
    </xf>
    <xf numFmtId="164" fontId="77" fillId="37" borderId="0" xfId="0" applyNumberFormat="1" applyFont="1" applyFill="1" applyAlignment="1">
      <alignment/>
    </xf>
    <xf numFmtId="9" fontId="77" fillId="37" borderId="0" xfId="0" applyNumberFormat="1" applyFont="1" applyFill="1" applyAlignment="1">
      <alignment/>
    </xf>
    <xf numFmtId="165" fontId="76" fillId="37" borderId="0" xfId="0" applyNumberFormat="1" applyFont="1" applyFill="1" applyAlignment="1">
      <alignment/>
    </xf>
    <xf numFmtId="165" fontId="0" fillId="37" borderId="0" xfId="0" applyNumberFormat="1" applyFill="1" applyAlignment="1">
      <alignment/>
    </xf>
    <xf numFmtId="0" fontId="77" fillId="37" borderId="0" xfId="0" applyFont="1" applyFill="1" applyAlignment="1">
      <alignment/>
    </xf>
    <xf numFmtId="167" fontId="77" fillId="37" borderId="0" xfId="42" applyFont="1" applyFill="1" applyAlignment="1">
      <alignment/>
    </xf>
    <xf numFmtId="174" fontId="77" fillId="37" borderId="0" xfId="42" applyNumberFormat="1" applyFont="1" applyFill="1" applyAlignment="1">
      <alignment/>
    </xf>
    <xf numFmtId="173" fontId="77" fillId="37" borderId="0" xfId="66" applyNumberFormat="1" applyFont="1" applyFill="1" applyAlignment="1">
      <alignment/>
    </xf>
    <xf numFmtId="0" fontId="78" fillId="37" borderId="0" xfId="60" applyFont="1" applyFill="1">
      <alignment/>
      <protection/>
    </xf>
    <xf numFmtId="0" fontId="0" fillId="37" borderId="0" xfId="0" applyFont="1" applyFill="1" applyAlignment="1">
      <alignment/>
    </xf>
    <xf numFmtId="0" fontId="79" fillId="37" borderId="0" xfId="0" applyFont="1" applyFill="1" applyAlignment="1">
      <alignment horizontal="left"/>
    </xf>
    <xf numFmtId="0" fontId="79" fillId="37" borderId="0" xfId="0" applyFont="1" applyFill="1" applyAlignment="1">
      <alignment/>
    </xf>
    <xf numFmtId="0" fontId="77" fillId="37" borderId="0" xfId="0" applyNumberFormat="1" applyFont="1" applyFill="1" applyAlignment="1">
      <alignment horizontal="right"/>
    </xf>
    <xf numFmtId="2" fontId="77" fillId="37" borderId="0" xfId="45" applyNumberFormat="1" applyFont="1" applyFill="1" applyAlignment="1">
      <alignment/>
    </xf>
    <xf numFmtId="166" fontId="77" fillId="37" borderId="0" xfId="45" applyFont="1" applyFill="1" applyAlignment="1">
      <alignment/>
    </xf>
    <xf numFmtId="2" fontId="77" fillId="37" borderId="0" xfId="0" applyNumberFormat="1" applyFont="1" applyFill="1" applyAlignment="1">
      <alignment/>
    </xf>
    <xf numFmtId="10" fontId="77" fillId="37" borderId="0" xfId="66" applyNumberFormat="1" applyFont="1" applyFill="1" applyAlignment="1">
      <alignment/>
    </xf>
    <xf numFmtId="0" fontId="75" fillId="34" borderId="0" xfId="62" applyFont="1" applyFill="1" applyAlignment="1">
      <alignment horizontal="right"/>
      <protection/>
    </xf>
    <xf numFmtId="0" fontId="80" fillId="0" borderId="0" xfId="0" applyFont="1" applyAlignment="1">
      <alignment/>
    </xf>
    <xf numFmtId="0" fontId="75" fillId="33" borderId="0" xfId="62" applyFont="1" applyFill="1">
      <alignment/>
      <protection/>
    </xf>
    <xf numFmtId="172" fontId="0" fillId="37" borderId="0" xfId="62" applyNumberFormat="1" applyFill="1">
      <alignment/>
      <protection/>
    </xf>
    <xf numFmtId="0" fontId="81" fillId="33" borderId="0" xfId="62" applyFont="1" applyFill="1">
      <alignment/>
      <protection/>
    </xf>
    <xf numFmtId="0" fontId="81" fillId="33" borderId="0" xfId="62" applyFont="1" applyFill="1" applyAlignment="1">
      <alignment horizontal="left"/>
      <protection/>
    </xf>
    <xf numFmtId="0" fontId="81" fillId="34" borderId="0" xfId="62" applyFont="1" applyFill="1" applyAlignment="1">
      <alignment horizontal="left"/>
      <protection/>
    </xf>
    <xf numFmtId="0" fontId="81" fillId="37" borderId="0" xfId="0" applyFont="1" applyFill="1" applyAlignment="1">
      <alignment/>
    </xf>
    <xf numFmtId="0" fontId="34" fillId="37" borderId="0" xfId="0" applyFont="1" applyFill="1" applyAlignment="1">
      <alignment/>
    </xf>
    <xf numFmtId="0" fontId="82" fillId="37" borderId="0" xfId="0" applyFont="1" applyFill="1" applyAlignment="1">
      <alignment/>
    </xf>
    <xf numFmtId="0" fontId="83" fillId="37" borderId="0" xfId="0" applyFont="1" applyFill="1" applyAlignment="1">
      <alignment/>
    </xf>
    <xf numFmtId="174" fontId="4" fillId="37" borderId="0" xfId="42" applyNumberFormat="1" applyFont="1" applyFill="1" applyAlignment="1">
      <alignment/>
    </xf>
    <xf numFmtId="177" fontId="0" fillId="37" borderId="0" xfId="42" applyNumberFormat="1" applyFont="1" applyFill="1" applyAlignment="1">
      <alignment/>
    </xf>
    <xf numFmtId="0" fontId="0" fillId="37" borderId="0" xfId="0" applyFont="1" applyFill="1" applyAlignment="1">
      <alignment horizontal="left" indent="2"/>
    </xf>
    <xf numFmtId="0" fontId="84" fillId="37" borderId="0" xfId="0" applyFont="1" applyFill="1" applyAlignment="1">
      <alignment horizontal="left" indent="1"/>
    </xf>
    <xf numFmtId="0" fontId="0" fillId="37" borderId="0" xfId="0" applyFill="1" applyAlignment="1">
      <alignment horizontal="left" indent="2"/>
    </xf>
    <xf numFmtId="0" fontId="0" fillId="37" borderId="0" xfId="0" applyFill="1" applyAlignment="1">
      <alignment horizontal="left" indent="1"/>
    </xf>
    <xf numFmtId="0" fontId="0" fillId="37" borderId="0" xfId="0" applyFont="1" applyFill="1" applyAlignment="1">
      <alignment horizontal="left" indent="1"/>
    </xf>
    <xf numFmtId="0" fontId="80" fillId="37" borderId="0" xfId="0" applyFont="1" applyFill="1" applyAlignment="1">
      <alignment/>
    </xf>
    <xf numFmtId="172" fontId="0" fillId="37" borderId="0" xfId="45" applyNumberFormat="1" applyFont="1" applyFill="1" applyAlignment="1">
      <alignment/>
    </xf>
    <xf numFmtId="176" fontId="4" fillId="37" borderId="0" xfId="45" applyNumberFormat="1" applyFont="1" applyFill="1" applyAlignment="1">
      <alignment/>
    </xf>
    <xf numFmtId="175" fontId="4" fillId="37" borderId="0" xfId="42" applyNumberFormat="1" applyFont="1" applyFill="1" applyAlignment="1">
      <alignment/>
    </xf>
    <xf numFmtId="172" fontId="4" fillId="37" borderId="0" xfId="45" applyNumberFormat="1" applyFont="1" applyFill="1" applyAlignment="1">
      <alignment/>
    </xf>
    <xf numFmtId="168" fontId="0" fillId="37" borderId="0" xfId="62" applyNumberFormat="1" applyFill="1" applyAlignment="1">
      <alignment horizontal="right"/>
      <protection/>
    </xf>
    <xf numFmtId="172" fontId="0" fillId="37" borderId="0" xfId="0" applyNumberFormat="1" applyFill="1" applyAlignment="1">
      <alignment horizontal="center"/>
    </xf>
    <xf numFmtId="0" fontId="0" fillId="37" borderId="0" xfId="0" applyFont="1" applyFill="1" applyAlignment="1">
      <alignment horizontal="left"/>
    </xf>
    <xf numFmtId="0" fontId="0" fillId="37" borderId="0" xfId="0" applyFont="1" applyFill="1" applyAlignment="1">
      <alignment horizontal="left" indent="3"/>
    </xf>
    <xf numFmtId="0" fontId="84" fillId="37" borderId="0" xfId="0" applyFont="1" applyFill="1" applyAlignment="1">
      <alignment horizontal="left" indent="2"/>
    </xf>
    <xf numFmtId="0" fontId="0" fillId="37" borderId="0" xfId="0" applyFill="1" applyAlignment="1">
      <alignment horizontal="left" indent="3"/>
    </xf>
    <xf numFmtId="0" fontId="84" fillId="37" borderId="0" xfId="62" applyFont="1" applyFill="1" applyAlignment="1">
      <alignment horizontal="left" indent="1"/>
      <protection/>
    </xf>
    <xf numFmtId="0" fontId="0" fillId="37" borderId="0" xfId="60" applyFont="1" applyFill="1">
      <alignment/>
      <protection/>
    </xf>
    <xf numFmtId="0" fontId="85" fillId="37" borderId="0" xfId="60" applyFont="1" applyFill="1">
      <alignment/>
      <protection/>
    </xf>
    <xf numFmtId="0" fontId="54" fillId="37" borderId="0" xfId="60" applyFill="1">
      <alignment/>
      <protection/>
    </xf>
    <xf numFmtId="0" fontId="86" fillId="37" borderId="0" xfId="60" applyFont="1" applyFill="1">
      <alignment/>
      <protection/>
    </xf>
    <xf numFmtId="178" fontId="4" fillId="37" borderId="0" xfId="60" applyNumberFormat="1" applyFont="1" applyFill="1" applyAlignment="1">
      <alignment horizontal="right"/>
      <protection/>
    </xf>
    <xf numFmtId="0" fontId="0" fillId="37" borderId="0" xfId="60" applyFont="1" applyFill="1">
      <alignment/>
      <protection/>
    </xf>
    <xf numFmtId="180" fontId="77" fillId="37" borderId="0" xfId="0" applyNumberFormat="1" applyFont="1" applyFill="1" applyAlignment="1">
      <alignment/>
    </xf>
    <xf numFmtId="181" fontId="77" fillId="37" borderId="0" xfId="0" applyNumberFormat="1" applyFont="1" applyFill="1" applyAlignment="1">
      <alignment/>
    </xf>
    <xf numFmtId="182" fontId="77" fillId="37" borderId="0" xfId="0" applyNumberFormat="1" applyFont="1" applyFill="1" applyAlignment="1">
      <alignment/>
    </xf>
    <xf numFmtId="183" fontId="77" fillId="37" borderId="0" xfId="0" applyNumberFormat="1" applyFont="1" applyFill="1" applyAlignment="1">
      <alignment/>
    </xf>
    <xf numFmtId="182" fontId="77" fillId="37" borderId="0" xfId="69" applyNumberFormat="1" applyFont="1" applyFill="1" applyAlignment="1">
      <alignment/>
    </xf>
    <xf numFmtId="184" fontId="77" fillId="37" borderId="0" xfId="69" applyNumberFormat="1" applyFont="1" applyFill="1" applyAlignment="1">
      <alignment/>
    </xf>
    <xf numFmtId="185" fontId="77" fillId="37" borderId="0" xfId="69" applyNumberFormat="1" applyFont="1" applyFill="1" applyAlignment="1">
      <alignment/>
    </xf>
    <xf numFmtId="186" fontId="77" fillId="37" borderId="0" xfId="49" applyNumberFormat="1" applyFont="1" applyFill="1" applyAlignment="1">
      <alignment/>
    </xf>
    <xf numFmtId="0" fontId="86" fillId="37" borderId="0" xfId="60" applyFont="1" applyFill="1" applyAlignment="1">
      <alignment wrapText="1"/>
      <protection/>
    </xf>
    <xf numFmtId="0" fontId="72" fillId="37" borderId="0" xfId="60" applyFont="1" applyFill="1">
      <alignment/>
      <protection/>
    </xf>
    <xf numFmtId="187" fontId="77" fillId="37" borderId="0" xfId="69" applyNumberFormat="1" applyFont="1" applyFill="1" applyAlignment="1">
      <alignment/>
    </xf>
    <xf numFmtId="9" fontId="77" fillId="37" borderId="0" xfId="0" applyNumberFormat="1" applyFont="1" applyFill="1" applyAlignment="1">
      <alignment/>
    </xf>
    <xf numFmtId="189" fontId="77" fillId="37" borderId="0" xfId="69" applyNumberFormat="1" applyFont="1" applyFill="1" applyAlignment="1">
      <alignment/>
    </xf>
    <xf numFmtId="166" fontId="0" fillId="37" borderId="0" xfId="0" applyNumberFormat="1" applyFill="1" applyAlignment="1">
      <alignment/>
    </xf>
    <xf numFmtId="0" fontId="0" fillId="37" borderId="0" xfId="0" applyFill="1" applyAlignment="1">
      <alignment horizontal="left"/>
    </xf>
    <xf numFmtId="190" fontId="4" fillId="37" borderId="0" xfId="49" applyNumberFormat="1" applyFont="1" applyFill="1" applyAlignment="1">
      <alignment/>
    </xf>
    <xf numFmtId="9" fontId="77" fillId="37" borderId="0" xfId="69" applyFont="1" applyFill="1" applyAlignment="1">
      <alignment/>
    </xf>
    <xf numFmtId="164" fontId="76" fillId="37" borderId="0" xfId="0" applyNumberFormat="1" applyFont="1" applyFill="1" applyAlignment="1">
      <alignment/>
    </xf>
    <xf numFmtId="191" fontId="0" fillId="37" borderId="0" xfId="60" applyNumberFormat="1" applyFont="1" applyFill="1">
      <alignment/>
      <protection/>
    </xf>
    <xf numFmtId="192" fontId="76" fillId="37" borderId="0" xfId="0" applyNumberFormat="1" applyFont="1" applyFill="1" applyAlignment="1">
      <alignment/>
    </xf>
    <xf numFmtId="192" fontId="76" fillId="37" borderId="0" xfId="49" applyNumberFormat="1" applyFont="1" applyFill="1" applyAlignment="1">
      <alignment/>
    </xf>
    <xf numFmtId="193" fontId="76" fillId="37" borderId="0" xfId="49" applyNumberFormat="1" applyFont="1" applyFill="1" applyAlignment="1">
      <alignment/>
    </xf>
    <xf numFmtId="193" fontId="87" fillId="37" borderId="0" xfId="0" applyNumberFormat="1" applyFont="1" applyFill="1" applyAlignment="1">
      <alignment/>
    </xf>
    <xf numFmtId="193" fontId="87" fillId="38" borderId="0" xfId="0" applyNumberFormat="1" applyFont="1" applyFill="1" applyAlignment="1">
      <alignment/>
    </xf>
    <xf numFmtId="193" fontId="88" fillId="37" borderId="0" xfId="0" applyNumberFormat="1" applyFont="1" applyFill="1" applyAlignment="1">
      <alignment/>
    </xf>
    <xf numFmtId="9" fontId="77" fillId="37" borderId="0" xfId="66" applyFont="1" applyFill="1" applyAlignment="1">
      <alignment/>
    </xf>
    <xf numFmtId="0" fontId="89" fillId="37" borderId="0" xfId="60" applyFont="1" applyFill="1" applyAlignment="1">
      <alignment horizontal="left" wrapText="1" indent="1"/>
      <protection/>
    </xf>
    <xf numFmtId="0" fontId="90" fillId="38" borderId="0" xfId="0" applyFont="1" applyFill="1" applyAlignment="1">
      <alignment horizontal="left" wrapText="1" indent="1"/>
    </xf>
    <xf numFmtId="0" fontId="54" fillId="37" borderId="0" xfId="60" applyFill="1" applyAlignment="1">
      <alignment wrapText="1"/>
      <protection/>
    </xf>
    <xf numFmtId="0" fontId="72" fillId="37" borderId="0" xfId="60" applyFont="1" applyFill="1">
      <alignment/>
      <protection/>
    </xf>
    <xf numFmtId="0" fontId="55" fillId="37" borderId="0" xfId="60" applyFont="1" applyFill="1">
      <alignment/>
      <protection/>
    </xf>
    <xf numFmtId="0" fontId="91" fillId="37" borderId="0" xfId="60" applyFont="1" applyFill="1" applyAlignment="1">
      <alignment wrapText="1"/>
      <protection/>
    </xf>
    <xf numFmtId="0" fontId="78" fillId="37" borderId="0" xfId="60" applyFont="1" applyFill="1" applyAlignment="1">
      <alignment wrapText="1"/>
      <protection/>
    </xf>
    <xf numFmtId="193" fontId="76" fillId="37" borderId="0" xfId="0" applyNumberFormat="1" applyFont="1" applyFill="1" applyAlignment="1">
      <alignment/>
    </xf>
    <xf numFmtId="186" fontId="4" fillId="37" borderId="0" xfId="49" applyNumberFormat="1" applyFont="1" applyFill="1" applyAlignment="1">
      <alignment/>
    </xf>
    <xf numFmtId="188" fontId="77" fillId="37" borderId="0" xfId="0" applyNumberFormat="1" applyFont="1" applyFill="1" applyAlignment="1">
      <alignment/>
    </xf>
    <xf numFmtId="0" fontId="5" fillId="37" borderId="0" xfId="63" applyFont="1" applyFill="1" applyBorder="1" applyAlignment="1">
      <alignment horizontal="left"/>
      <protection/>
    </xf>
    <xf numFmtId="0" fontId="78" fillId="37" borderId="0" xfId="60" applyFont="1" applyFill="1" applyAlignment="1">
      <alignment horizontal="left" indent="1"/>
      <protection/>
    </xf>
    <xf numFmtId="0" fontId="78" fillId="37" borderId="0" xfId="60" applyFont="1" applyFill="1" applyAlignment="1">
      <alignment horizontal="left" wrapText="1"/>
      <protection/>
    </xf>
    <xf numFmtId="0" fontId="92" fillId="37" borderId="0" xfId="0" applyNumberFormat="1" applyFont="1" applyFill="1" applyAlignment="1">
      <alignment/>
    </xf>
    <xf numFmtId="0" fontId="93" fillId="37" borderId="0" xfId="0" applyNumberFormat="1" applyFont="1" applyFill="1" applyAlignment="1">
      <alignment/>
    </xf>
    <xf numFmtId="0" fontId="92" fillId="37" borderId="0" xfId="42" applyNumberFormat="1" applyFont="1" applyFill="1" applyAlignment="1">
      <alignment/>
    </xf>
    <xf numFmtId="0" fontId="78" fillId="37" borderId="0" xfId="60" applyFont="1" applyFill="1" applyAlignment="1">
      <alignment horizontal="left"/>
      <protection/>
    </xf>
    <xf numFmtId="167" fontId="0" fillId="37" borderId="0" xfId="42" applyFont="1" applyFill="1" applyAlignment="1" quotePrefix="1">
      <alignment horizontal="center"/>
    </xf>
    <xf numFmtId="0" fontId="77" fillId="37" borderId="0" xfId="45" applyNumberFormat="1" applyFont="1" applyFill="1" applyAlignment="1">
      <alignment/>
    </xf>
    <xf numFmtId="177" fontId="0" fillId="7" borderId="0" xfId="42" applyNumberFormat="1" applyFont="1" applyFill="1" applyAlignment="1">
      <alignment/>
    </xf>
    <xf numFmtId="0" fontId="0" fillId="37" borderId="0" xfId="0" applyFont="1" applyFill="1" applyAlignment="1">
      <alignment horizontal="left" indent="4"/>
    </xf>
    <xf numFmtId="44" fontId="0" fillId="37" borderId="0" xfId="45" applyNumberFormat="1" applyFont="1" applyFill="1" applyAlignment="1">
      <alignment/>
    </xf>
    <xf numFmtId="0" fontId="75" fillId="37" borderId="0" xfId="62" applyFont="1" applyFill="1">
      <alignment/>
      <protection/>
    </xf>
    <xf numFmtId="172" fontId="0" fillId="37" borderId="0" xfId="45" applyNumberFormat="1" applyFont="1" applyFill="1" applyAlignment="1">
      <alignment/>
    </xf>
    <xf numFmtId="172" fontId="0" fillId="37" borderId="0" xfId="45" applyNumberFormat="1" applyFont="1" applyFill="1" applyAlignment="1" quotePrefix="1">
      <alignment horizontal="center"/>
    </xf>
    <xf numFmtId="0" fontId="75" fillId="37" borderId="0" xfId="62" applyFont="1" applyFill="1" applyAlignment="1">
      <alignment horizontal="right"/>
      <protection/>
    </xf>
    <xf numFmtId="0" fontId="84" fillId="37" borderId="0" xfId="0" applyFont="1" applyFill="1" applyAlignment="1">
      <alignment/>
    </xf>
    <xf numFmtId="175" fontId="4" fillId="37" borderId="0" xfId="0" applyNumberFormat="1" applyFont="1" applyFill="1" applyAlignment="1">
      <alignment/>
    </xf>
    <xf numFmtId="175" fontId="4" fillId="25" borderId="0" xfId="0" applyNumberFormat="1" applyFont="1" applyFill="1" applyAlignment="1">
      <alignment/>
    </xf>
    <xf numFmtId="174" fontId="4" fillId="37" borderId="0" xfId="62" applyNumberFormat="1" applyFont="1" applyFill="1">
      <alignment/>
      <protection/>
    </xf>
    <xf numFmtId="0" fontId="76" fillId="39" borderId="0" xfId="0" applyFont="1" applyFill="1" applyAlignment="1">
      <alignment/>
    </xf>
    <xf numFmtId="0" fontId="94" fillId="34" borderId="0" xfId="0" applyFont="1" applyFill="1" applyAlignment="1">
      <alignment/>
    </xf>
    <xf numFmtId="0" fontId="72" fillId="34" borderId="0" xfId="0" applyFont="1" applyFill="1" applyAlignment="1">
      <alignment/>
    </xf>
    <xf numFmtId="0" fontId="4" fillId="34" borderId="0" xfId="62" applyFont="1" applyFill="1" applyAlignment="1">
      <alignment horizontal="right"/>
      <protection/>
    </xf>
    <xf numFmtId="0" fontId="4" fillId="35" borderId="0" xfId="62" applyFont="1" applyFill="1" applyAlignment="1">
      <alignment horizontal="left"/>
      <protection/>
    </xf>
    <xf numFmtId="0" fontId="4" fillId="34" borderId="0" xfId="62" applyFont="1" applyFill="1" applyAlignment="1">
      <alignment horizontal="left"/>
      <protection/>
    </xf>
    <xf numFmtId="168" fontId="4" fillId="35" borderId="0" xfId="62" applyNumberFormat="1" applyFont="1" applyFill="1" applyAlignment="1">
      <alignment horizontal="left"/>
      <protection/>
    </xf>
    <xf numFmtId="169" fontId="4" fillId="35" borderId="0" xfId="62" applyNumberFormat="1" applyFont="1" applyFill="1" applyAlignment="1">
      <alignment horizontal="left"/>
      <protection/>
    </xf>
    <xf numFmtId="0" fontId="4" fillId="35" borderId="0" xfId="62" applyNumberFormat="1" applyFont="1" applyFill="1" applyAlignment="1">
      <alignment horizontal="left"/>
      <protection/>
    </xf>
    <xf numFmtId="170" fontId="4" fillId="35" borderId="0" xfId="62" applyNumberFormat="1" applyFont="1" applyFill="1" applyAlignment="1">
      <alignment horizontal="left"/>
      <protection/>
    </xf>
    <xf numFmtId="168" fontId="4" fillId="36" borderId="0" xfId="62" applyNumberFormat="1" applyFont="1" applyFill="1" applyAlignment="1">
      <alignment horizontal="left"/>
      <protection/>
    </xf>
    <xf numFmtId="169" fontId="4" fillId="36" borderId="0" xfId="62" applyNumberFormat="1" applyFont="1" applyFill="1" applyAlignment="1">
      <alignment horizontal="left"/>
      <protection/>
    </xf>
    <xf numFmtId="0" fontId="4" fillId="36" borderId="0" xfId="62" applyFont="1" applyFill="1" applyAlignment="1">
      <alignment horizontal="left"/>
      <protection/>
    </xf>
    <xf numFmtId="170" fontId="4" fillId="36" borderId="0" xfId="62" applyNumberFormat="1" applyFont="1" applyFill="1" applyAlignment="1">
      <alignment horizontal="left"/>
      <protection/>
    </xf>
    <xf numFmtId="0" fontId="4" fillId="37" borderId="0" xfId="62" applyFont="1" applyFill="1" applyAlignment="1">
      <alignment horizontal="right"/>
      <protection/>
    </xf>
    <xf numFmtId="10" fontId="4" fillId="37" borderId="0" xfId="66" applyNumberFormat="1" applyFont="1" applyFill="1" applyAlignment="1">
      <alignment/>
    </xf>
    <xf numFmtId="0" fontId="34" fillId="37" borderId="0" xfId="62" applyFont="1" applyFill="1" applyAlignment="1">
      <alignment horizontal="right"/>
      <protection/>
    </xf>
    <xf numFmtId="9" fontId="4" fillId="37" borderId="0" xfId="0" applyNumberFormat="1" applyFont="1" applyFill="1" applyAlignment="1">
      <alignment/>
    </xf>
    <xf numFmtId="0" fontId="4" fillId="37" borderId="0" xfId="62" applyFont="1" applyFill="1">
      <alignment/>
      <protection/>
    </xf>
    <xf numFmtId="167" fontId="4" fillId="37" borderId="0" xfId="62" applyNumberFormat="1" applyFont="1" applyFill="1">
      <alignment/>
      <protection/>
    </xf>
    <xf numFmtId="168" fontId="77" fillId="7" borderId="0" xfId="62" applyNumberFormat="1" applyFont="1" applyFill="1" applyAlignment="1">
      <alignment horizontal="right"/>
      <protection/>
    </xf>
    <xf numFmtId="0" fontId="77" fillId="7" borderId="0" xfId="62" applyFont="1" applyFill="1">
      <alignment/>
      <protection/>
    </xf>
    <xf numFmtId="174" fontId="77" fillId="7" borderId="0" xfId="42" applyNumberFormat="1" applyFont="1" applyFill="1" applyAlignment="1">
      <alignment/>
    </xf>
    <xf numFmtId="167" fontId="77" fillId="7" borderId="0" xfId="42" applyNumberFormat="1" applyFont="1" applyFill="1" applyAlignment="1">
      <alignment/>
    </xf>
    <xf numFmtId="0" fontId="77" fillId="40" borderId="0" xfId="0" applyFont="1" applyFill="1" applyAlignment="1">
      <alignment/>
    </xf>
    <xf numFmtId="194" fontId="76" fillId="37" borderId="0" xfId="45" applyNumberFormat="1" applyFont="1" applyFill="1" applyAlignment="1">
      <alignment/>
    </xf>
    <xf numFmtId="164" fontId="76" fillId="37" borderId="0" xfId="0" applyNumberFormat="1" applyFont="1" applyFill="1" applyAlignment="1">
      <alignment/>
    </xf>
    <xf numFmtId="1" fontId="77" fillId="37" borderId="0" xfId="45" applyNumberFormat="1" applyFont="1" applyFill="1" applyAlignment="1">
      <alignment/>
    </xf>
    <xf numFmtId="171" fontId="4" fillId="36" borderId="0" xfId="62" applyNumberFormat="1" applyFont="1" applyFill="1" applyAlignment="1">
      <alignment horizontal="left"/>
      <protection/>
    </xf>
    <xf numFmtId="0" fontId="0" fillId="37" borderId="0" xfId="62" applyFill="1" applyAlignment="1">
      <alignment horizontal="left"/>
      <protection/>
    </xf>
    <xf numFmtId="171" fontId="4" fillId="37" borderId="0" xfId="62" applyNumberFormat="1" applyFont="1" applyFill="1" applyAlignment="1">
      <alignment horizontal="left"/>
      <protection/>
    </xf>
    <xf numFmtId="0" fontId="80" fillId="37" borderId="0" xfId="62" applyFont="1" applyFill="1" applyAlignment="1">
      <alignment horizontal="left"/>
      <protection/>
    </xf>
    <xf numFmtId="0" fontId="0" fillId="37" borderId="0" xfId="62" applyNumberFormat="1" applyFill="1" applyAlignment="1">
      <alignment horizontal="left"/>
      <protection/>
    </xf>
    <xf numFmtId="0" fontId="0" fillId="37" borderId="0" xfId="62" applyNumberFormat="1" applyFont="1" applyFill="1" applyAlignment="1">
      <alignment horizontal="left"/>
      <protection/>
    </xf>
    <xf numFmtId="0" fontId="4" fillId="37" borderId="0" xfId="62" applyNumberFormat="1" applyFont="1" applyFill="1" applyAlignment="1">
      <alignment horizontal="left"/>
      <protection/>
    </xf>
    <xf numFmtId="0" fontId="95" fillId="37" borderId="0" xfId="62" applyFont="1" applyFill="1" applyAlignment="1">
      <alignment horizontal="left"/>
      <protection/>
    </xf>
    <xf numFmtId="0" fontId="72" fillId="37" borderId="0" xfId="62" applyFont="1" applyFill="1">
      <alignment/>
      <protection/>
    </xf>
    <xf numFmtId="0" fontId="72" fillId="37" borderId="0" xfId="62" applyFont="1" applyFill="1" applyAlignment="1">
      <alignment horizontal="right"/>
      <protection/>
    </xf>
    <xf numFmtId="0" fontId="95" fillId="37" borderId="0" xfId="0" applyFont="1" applyFill="1" applyAlignment="1">
      <alignment/>
    </xf>
    <xf numFmtId="195" fontId="0" fillId="37" borderId="0" xfId="0" applyNumberFormat="1" applyFont="1" applyFill="1" applyAlignment="1">
      <alignment/>
    </xf>
    <xf numFmtId="195" fontId="4" fillId="37" borderId="0" xfId="62" applyNumberFormat="1" applyFont="1" applyFill="1" applyAlignment="1">
      <alignment horizontal="right"/>
      <protection/>
    </xf>
    <xf numFmtId="195" fontId="34" fillId="37" borderId="0" xfId="62" applyNumberFormat="1" applyFont="1" applyFill="1" applyAlignment="1">
      <alignment horizontal="right"/>
      <protection/>
    </xf>
    <xf numFmtId="196" fontId="4" fillId="37" borderId="0" xfId="62" applyNumberFormat="1" applyFont="1" applyFill="1" applyAlignment="1">
      <alignment horizontal="left"/>
      <protection/>
    </xf>
    <xf numFmtId="196" fontId="4" fillId="37" borderId="0" xfId="45" applyNumberFormat="1" applyFont="1" applyFill="1" applyAlignment="1">
      <alignment horizontal="left"/>
    </xf>
    <xf numFmtId="194" fontId="77" fillId="37" borderId="0" xfId="45" applyNumberFormat="1" applyFont="1" applyFill="1" applyAlignment="1">
      <alignment/>
    </xf>
    <xf numFmtId="195" fontId="77" fillId="37" borderId="0" xfId="45" applyNumberFormat="1" applyFont="1" applyFill="1" applyAlignment="1">
      <alignment/>
    </xf>
    <xf numFmtId="168" fontId="77" fillId="37" borderId="0" xfId="62" applyNumberFormat="1" applyFont="1" applyFill="1" applyAlignment="1">
      <alignment horizontal="right"/>
      <protection/>
    </xf>
    <xf numFmtId="0" fontId="82" fillId="37" borderId="0" xfId="0" applyFont="1" applyFill="1" applyAlignment="1">
      <alignment horizontal="center" vertical="center"/>
    </xf>
    <xf numFmtId="0" fontId="82" fillId="37" borderId="0" xfId="0" applyFont="1" applyFill="1" applyAlignment="1">
      <alignment horizontal="center" vertical="center" wrapText="1"/>
    </xf>
    <xf numFmtId="0" fontId="0" fillId="37" borderId="0" xfId="0" applyFill="1" applyBorder="1" applyAlignment="1">
      <alignment wrapText="1"/>
    </xf>
    <xf numFmtId="0" fontId="82" fillId="37" borderId="0" xfId="0" applyFont="1" applyFill="1" applyAlignment="1">
      <alignment horizontal="left" vertical="top"/>
    </xf>
    <xf numFmtId="0" fontId="0" fillId="37" borderId="0" xfId="0" applyFill="1" applyAlignment="1">
      <alignment horizontal="left" vertical="top" wrapText="1"/>
    </xf>
    <xf numFmtId="0" fontId="0" fillId="37" borderId="0" xfId="0" applyFill="1" applyBorder="1" applyAlignment="1">
      <alignment/>
    </xf>
    <xf numFmtId="186" fontId="77" fillId="0" borderId="0" xfId="49" applyNumberFormat="1" applyFont="1" applyFill="1" applyAlignment="1">
      <alignment horizontal="right"/>
    </xf>
    <xf numFmtId="174" fontId="77" fillId="37" borderId="0" xfId="42" applyNumberFormat="1" applyFont="1" applyFill="1" applyAlignment="1">
      <alignment horizontal="right"/>
    </xf>
    <xf numFmtId="0" fontId="0" fillId="37" borderId="0" xfId="62" applyFont="1" applyFill="1" applyAlignment="1">
      <alignment horizontal="left"/>
      <protection/>
    </xf>
    <xf numFmtId="0" fontId="4" fillId="37" borderId="0" xfId="62" applyFont="1" applyFill="1" applyAlignment="1">
      <alignment horizontal="left"/>
      <protection/>
    </xf>
    <xf numFmtId="0" fontId="96" fillId="37" borderId="0" xfId="62" applyFont="1" applyFill="1">
      <alignment/>
      <protection/>
    </xf>
    <xf numFmtId="0" fontId="95" fillId="37" borderId="10" xfId="62" applyFont="1" applyFill="1" applyBorder="1" applyAlignment="1">
      <alignment horizontal="left"/>
      <protection/>
    </xf>
    <xf numFmtId="174" fontId="4" fillId="37" borderId="0" xfId="42" applyNumberFormat="1" applyFont="1" applyFill="1" applyAlignment="1">
      <alignment horizontal="right"/>
    </xf>
    <xf numFmtId="0" fontId="0" fillId="37" borderId="0" xfId="0" applyFill="1" applyBorder="1" applyAlignment="1">
      <alignment/>
    </xf>
    <xf numFmtId="0" fontId="97" fillId="34" borderId="0" xfId="0" applyFont="1" applyFill="1" applyAlignment="1">
      <alignment/>
    </xf>
    <xf numFmtId="0" fontId="84" fillId="37" borderId="0" xfId="0" applyFont="1" applyFill="1" applyAlignment="1">
      <alignment horizontal="right"/>
    </xf>
    <xf numFmtId="0" fontId="98" fillId="37" borderId="0" xfId="0" applyFont="1" applyFill="1" applyAlignment="1">
      <alignment/>
    </xf>
    <xf numFmtId="0" fontId="47" fillId="37" borderId="11" xfId="62" applyNumberFormat="1" applyFont="1" applyFill="1" applyBorder="1" applyAlignment="1">
      <alignment horizontal="center"/>
      <protection/>
    </xf>
    <xf numFmtId="0" fontId="72" fillId="33" borderId="0" xfId="62" applyFont="1" applyFill="1" applyAlignment="1">
      <alignment wrapText="1"/>
      <protection/>
    </xf>
    <xf numFmtId="0" fontId="72" fillId="37" borderId="0" xfId="62" applyFont="1" applyFill="1" applyAlignment="1">
      <alignment horizontal="left"/>
      <protection/>
    </xf>
    <xf numFmtId="0" fontId="81" fillId="37" borderId="0" xfId="62" applyFont="1" applyFill="1" applyAlignment="1">
      <alignment horizontal="left"/>
      <protection/>
    </xf>
    <xf numFmtId="0" fontId="69" fillId="37" borderId="0" xfId="60" applyFont="1" applyFill="1">
      <alignment/>
      <protection/>
    </xf>
    <xf numFmtId="9" fontId="0" fillId="37" borderId="12" xfId="70" applyFont="1" applyFill="1" applyBorder="1" applyAlignment="1">
      <alignment/>
    </xf>
    <xf numFmtId="0" fontId="54" fillId="37" borderId="13" xfId="60" applyFill="1" applyBorder="1" applyAlignment="1">
      <alignment horizontal="center"/>
      <protection/>
    </xf>
    <xf numFmtId="9" fontId="0" fillId="37" borderId="14" xfId="70" applyFont="1" applyFill="1" applyBorder="1" applyAlignment="1">
      <alignment/>
    </xf>
    <xf numFmtId="0" fontId="54" fillId="37" borderId="15" xfId="60" applyFill="1" applyBorder="1" applyAlignment="1">
      <alignment horizontal="center"/>
      <protection/>
    </xf>
    <xf numFmtId="0" fontId="54" fillId="37" borderId="0" xfId="60" applyFill="1" applyBorder="1">
      <alignment/>
      <protection/>
    </xf>
    <xf numFmtId="0" fontId="54" fillId="37" borderId="0" xfId="60" applyFont="1" applyFill="1">
      <alignment/>
      <protection/>
    </xf>
    <xf numFmtId="0" fontId="72" fillId="33" borderId="0" xfId="62" applyFont="1" applyFill="1" applyAlignment="1">
      <alignment vertical="top" wrapText="1"/>
      <protection/>
    </xf>
    <xf numFmtId="9" fontId="0" fillId="37" borderId="0" xfId="66" applyFont="1" applyFill="1" applyBorder="1" applyAlignment="1">
      <alignment horizontal="center"/>
    </xf>
    <xf numFmtId="0" fontId="95" fillId="37" borderId="16" xfId="62" applyNumberFormat="1" applyFont="1" applyFill="1" applyBorder="1" applyAlignment="1">
      <alignment horizontal="center" wrapText="1"/>
      <protection/>
    </xf>
    <xf numFmtId="9" fontId="0" fillId="37" borderId="13" xfId="66" applyFont="1" applyFill="1" applyBorder="1" applyAlignment="1">
      <alignment horizontal="center"/>
    </xf>
    <xf numFmtId="0" fontId="0" fillId="37" borderId="0" xfId="62" applyNumberFormat="1" applyFill="1" applyBorder="1" applyAlignment="1">
      <alignment horizontal="center"/>
      <protection/>
    </xf>
    <xf numFmtId="0" fontId="4" fillId="37" borderId="13" xfId="62" applyNumberFormat="1" applyFont="1" applyFill="1" applyBorder="1" applyAlignment="1">
      <alignment horizontal="center"/>
      <protection/>
    </xf>
    <xf numFmtId="0" fontId="0" fillId="37" borderId="17" xfId="62" applyNumberFormat="1" applyFill="1" applyBorder="1" applyAlignment="1">
      <alignment horizontal="center"/>
      <protection/>
    </xf>
    <xf numFmtId="0" fontId="4" fillId="37" borderId="15" xfId="62" applyNumberFormat="1" applyFont="1" applyFill="1" applyBorder="1" applyAlignment="1">
      <alignment horizontal="center"/>
      <protection/>
    </xf>
    <xf numFmtId="0" fontId="72" fillId="34" borderId="0" xfId="0" applyFont="1" applyFill="1" applyAlignment="1">
      <alignment wrapText="1"/>
    </xf>
    <xf numFmtId="0" fontId="81" fillId="34" borderId="0" xfId="62" applyFont="1" applyFill="1" applyAlignment="1">
      <alignment horizontal="left" wrapText="1"/>
      <protection/>
    </xf>
    <xf numFmtId="0" fontId="0" fillId="37" borderId="0" xfId="0" applyFill="1" applyAlignment="1">
      <alignment wrapText="1"/>
    </xf>
    <xf numFmtId="0" fontId="92" fillId="37" borderId="0" xfId="0" applyNumberFormat="1" applyFont="1" applyFill="1" applyAlignment="1">
      <alignment wrapText="1"/>
    </xf>
    <xf numFmtId="0" fontId="92" fillId="37" borderId="0" xfId="60" applyFont="1" applyFill="1" applyAlignment="1">
      <alignment wrapText="1"/>
      <protection/>
    </xf>
    <xf numFmtId="0" fontId="92" fillId="37" borderId="0" xfId="0" applyFont="1" applyFill="1" applyAlignment="1">
      <alignment wrapText="1"/>
    </xf>
    <xf numFmtId="0" fontId="85" fillId="37" borderId="0" xfId="60" applyFont="1" applyFill="1" applyAlignment="1">
      <alignment wrapText="1"/>
      <protection/>
    </xf>
    <xf numFmtId="191" fontId="0" fillId="37" borderId="0" xfId="60" applyNumberFormat="1" applyFont="1" applyFill="1" applyAlignment="1">
      <alignment wrapText="1"/>
      <protection/>
    </xf>
    <xf numFmtId="166" fontId="92" fillId="37" borderId="0" xfId="0" applyNumberFormat="1" applyFont="1" applyFill="1" applyAlignment="1">
      <alignment wrapText="1"/>
    </xf>
    <xf numFmtId="0" fontId="34" fillId="37" borderId="0" xfId="62" applyFont="1" applyFill="1" applyAlignment="1">
      <alignment horizontal="right" wrapText="1"/>
      <protection/>
    </xf>
    <xf numFmtId="0" fontId="4" fillId="37" borderId="0" xfId="62" applyFont="1" applyFill="1" applyAlignment="1">
      <alignment horizontal="right" wrapText="1"/>
      <protection/>
    </xf>
    <xf numFmtId="0" fontId="0" fillId="0" borderId="0" xfId="0" applyAlignment="1">
      <alignment wrapText="1"/>
    </xf>
    <xf numFmtId="179" fontId="77" fillId="37" borderId="0" xfId="0" applyNumberFormat="1" applyFont="1" applyFill="1" applyAlignment="1">
      <alignment horizontal="right"/>
    </xf>
    <xf numFmtId="0" fontId="72" fillId="33" borderId="0" xfId="0" applyFont="1" applyFill="1" applyAlignment="1">
      <alignment/>
    </xf>
    <xf numFmtId="0" fontId="75" fillId="33" borderId="0" xfId="0" applyFont="1" applyFill="1" applyAlignment="1">
      <alignment/>
    </xf>
    <xf numFmtId="9" fontId="72" fillId="33" borderId="0" xfId="0" applyNumberFormat="1" applyFont="1" applyFill="1" applyAlignment="1">
      <alignment/>
    </xf>
    <xf numFmtId="0" fontId="72" fillId="33" borderId="0" xfId="0" applyNumberFormat="1" applyFont="1" applyFill="1" applyAlignment="1">
      <alignment wrapText="1"/>
    </xf>
    <xf numFmtId="0" fontId="34" fillId="33" borderId="0" xfId="62" applyFont="1" applyFill="1" applyAlignment="1">
      <alignment horizontal="right"/>
      <protection/>
    </xf>
    <xf numFmtId="0" fontId="34" fillId="33" borderId="0" xfId="62" applyFont="1" applyFill="1" applyAlignment="1">
      <alignment horizontal="right" wrapText="1"/>
      <protection/>
    </xf>
    <xf numFmtId="0" fontId="75" fillId="33" borderId="0" xfId="62" applyFont="1" applyFill="1" applyAlignment="1">
      <alignment horizontal="right"/>
      <protection/>
    </xf>
    <xf numFmtId="0" fontId="89" fillId="37" borderId="0" xfId="60" applyFont="1" applyFill="1" applyAlignment="1">
      <alignment horizontal="center" vertical="center" wrapText="1"/>
      <protection/>
    </xf>
    <xf numFmtId="0" fontId="90" fillId="38" borderId="0" xfId="0" applyFont="1" applyFill="1" applyAlignment="1">
      <alignment horizontal="center" vertical="center" wrapText="1"/>
    </xf>
    <xf numFmtId="10" fontId="0" fillId="37" borderId="0" xfId="66" applyNumberFormat="1" applyFont="1" applyFill="1" applyAlignment="1">
      <alignment/>
    </xf>
    <xf numFmtId="166" fontId="0" fillId="37" borderId="0" xfId="45" applyFont="1" applyFill="1" applyAlignment="1">
      <alignment/>
    </xf>
    <xf numFmtId="195" fontId="0" fillId="0" borderId="0" xfId="0" applyNumberFormat="1" applyFont="1" applyFill="1" applyAlignment="1">
      <alignment/>
    </xf>
    <xf numFmtId="197" fontId="54" fillId="37" borderId="0" xfId="60" applyNumberFormat="1" applyFill="1">
      <alignment/>
      <protection/>
    </xf>
    <xf numFmtId="9" fontId="4" fillId="37" borderId="0" xfId="66" applyFont="1" applyFill="1" applyAlignment="1">
      <alignment/>
    </xf>
    <xf numFmtId="179" fontId="4" fillId="37" borderId="0" xfId="0" applyNumberFormat="1" applyFont="1" applyFill="1" applyAlignment="1">
      <alignment/>
    </xf>
    <xf numFmtId="174" fontId="0" fillId="37" borderId="0" xfId="42" applyNumberFormat="1" applyFont="1" applyFill="1" applyAlignment="1">
      <alignment horizontal="left"/>
    </xf>
    <xf numFmtId="10" fontId="0" fillId="37" borderId="0" xfId="66" applyNumberFormat="1" applyFont="1" applyFill="1" applyBorder="1" applyAlignment="1">
      <alignment horizontal="center"/>
    </xf>
    <xf numFmtId="2" fontId="4" fillId="37" borderId="0" xfId="62" applyNumberFormat="1" applyFont="1" applyFill="1" applyAlignment="1">
      <alignment horizontal="right"/>
      <protection/>
    </xf>
    <xf numFmtId="198" fontId="77" fillId="7" borderId="0" xfId="42" applyNumberFormat="1" applyFont="1" applyFill="1" applyAlignment="1">
      <alignment/>
    </xf>
    <xf numFmtId="0" fontId="76" fillId="39" borderId="0" xfId="0" applyFont="1" applyFill="1" applyAlignment="1">
      <alignment horizontal="left" indent="4"/>
    </xf>
    <xf numFmtId="198" fontId="77" fillId="40" borderId="0" xfId="0" applyNumberFormat="1" applyFont="1" applyFill="1" applyAlignment="1">
      <alignment horizontal="right"/>
    </xf>
    <xf numFmtId="0" fontId="99" fillId="37" borderId="0" xfId="62" applyNumberFormat="1" applyFont="1" applyFill="1" applyAlignment="1">
      <alignment horizontal="left"/>
      <protection/>
    </xf>
    <xf numFmtId="0" fontId="4" fillId="37" borderId="0" xfId="0" applyFont="1" applyFill="1" applyAlignment="1">
      <alignment horizontal="left" vertical="top" wrapText="1"/>
    </xf>
    <xf numFmtId="0" fontId="34" fillId="37" borderId="0" xfId="62" applyFont="1" applyFill="1">
      <alignment/>
      <protection/>
    </xf>
    <xf numFmtId="0" fontId="48" fillId="37" borderId="0" xfId="62" applyFont="1" applyFill="1" applyAlignment="1">
      <alignment horizontal="left"/>
      <protection/>
    </xf>
    <xf numFmtId="0" fontId="4" fillId="37" borderId="0" xfId="0" applyFont="1" applyFill="1" applyAlignment="1">
      <alignment/>
    </xf>
    <xf numFmtId="0" fontId="48" fillId="37" borderId="0" xfId="0" applyFont="1" applyFill="1" applyAlignment="1">
      <alignment/>
    </xf>
    <xf numFmtId="0" fontId="47" fillId="37" borderId="0" xfId="0" applyFont="1" applyFill="1" applyAlignment="1">
      <alignment/>
    </xf>
    <xf numFmtId="0" fontId="4" fillId="37" borderId="0" xfId="0" applyFont="1" applyFill="1" applyAlignment="1">
      <alignment horizontal="left" indent="1"/>
    </xf>
    <xf numFmtId="0" fontId="49" fillId="37" borderId="0" xfId="60" applyFont="1" applyFill="1">
      <alignment/>
      <protection/>
    </xf>
    <xf numFmtId="0" fontId="50" fillId="37" borderId="10" xfId="60" applyFont="1" applyFill="1" applyBorder="1">
      <alignment/>
      <protection/>
    </xf>
    <xf numFmtId="0" fontId="50" fillId="37" borderId="11" xfId="60" applyFont="1" applyFill="1" applyBorder="1">
      <alignment/>
      <protection/>
    </xf>
    <xf numFmtId="0" fontId="50" fillId="37" borderId="0" xfId="60" applyFont="1" applyFill="1">
      <alignment/>
      <protection/>
    </xf>
    <xf numFmtId="9" fontId="4" fillId="37" borderId="18" xfId="70" applyFont="1" applyFill="1" applyBorder="1" applyAlignment="1">
      <alignment/>
    </xf>
    <xf numFmtId="0" fontId="50" fillId="37" borderId="19" xfId="60" applyFont="1" applyFill="1" applyBorder="1" applyAlignment="1">
      <alignment horizontal="center"/>
      <protection/>
    </xf>
    <xf numFmtId="9" fontId="4" fillId="37" borderId="12" xfId="70" applyFont="1" applyFill="1" applyBorder="1" applyAlignment="1">
      <alignment/>
    </xf>
    <xf numFmtId="0" fontId="50" fillId="37" borderId="13" xfId="60" applyFont="1" applyFill="1" applyBorder="1" applyAlignment="1">
      <alignment horizontal="center"/>
      <protection/>
    </xf>
    <xf numFmtId="9" fontId="4" fillId="37" borderId="14" xfId="70" applyFont="1" applyFill="1" applyBorder="1" applyAlignment="1">
      <alignment/>
    </xf>
    <xf numFmtId="0" fontId="50" fillId="37" borderId="15" xfId="60" applyFont="1" applyFill="1" applyBorder="1" applyAlignment="1">
      <alignment horizontal="center"/>
      <protection/>
    </xf>
    <xf numFmtId="0" fontId="0" fillId="37" borderId="0" xfId="62" applyNumberFormat="1" applyFont="1" applyFill="1" applyBorder="1" applyAlignment="1">
      <alignment horizontal="left"/>
      <protection/>
    </xf>
    <xf numFmtId="10" fontId="4" fillId="37" borderId="0" xfId="66" applyNumberFormat="1" applyFont="1" applyFill="1" applyBorder="1" applyAlignment="1">
      <alignment horizontal="center"/>
    </xf>
    <xf numFmtId="0" fontId="4" fillId="37" borderId="0" xfId="62" applyNumberFormat="1" applyFont="1" applyFill="1" applyBorder="1" applyAlignment="1">
      <alignment horizontal="left"/>
      <protection/>
    </xf>
    <xf numFmtId="9" fontId="4" fillId="37" borderId="0" xfId="66" applyFont="1" applyFill="1" applyBorder="1" applyAlignment="1">
      <alignment horizontal="center"/>
    </xf>
    <xf numFmtId="0" fontId="51" fillId="37" borderId="0" xfId="62" applyFont="1" applyFill="1">
      <alignment/>
      <protection/>
    </xf>
    <xf numFmtId="0" fontId="100" fillId="37" borderId="0" xfId="60" applyFont="1" applyFill="1">
      <alignment/>
      <protection/>
    </xf>
    <xf numFmtId="0" fontId="84" fillId="37" borderId="0" xfId="62" applyFont="1" applyFill="1" applyBorder="1" applyAlignment="1">
      <alignment horizontal="left"/>
      <protection/>
    </xf>
    <xf numFmtId="0" fontId="101" fillId="37" borderId="0" xfId="60" applyFont="1" applyFill="1">
      <alignment/>
      <protection/>
    </xf>
    <xf numFmtId="0" fontId="0" fillId="37" borderId="12" xfId="62" applyNumberFormat="1" applyFont="1" applyFill="1" applyBorder="1" applyAlignment="1">
      <alignment horizontal="left" wrapText="1"/>
      <protection/>
    </xf>
    <xf numFmtId="0" fontId="100" fillId="37" borderId="10" xfId="60" applyFont="1" applyFill="1" applyBorder="1">
      <alignment/>
      <protection/>
    </xf>
    <xf numFmtId="0" fontId="54" fillId="37" borderId="12" xfId="60" applyFont="1" applyFill="1" applyBorder="1">
      <alignment/>
      <protection/>
    </xf>
    <xf numFmtId="0" fontId="54" fillId="37" borderId="13" xfId="60" applyFill="1" applyBorder="1">
      <alignment/>
      <protection/>
    </xf>
    <xf numFmtId="0" fontId="100" fillId="37" borderId="12" xfId="60" applyFont="1" applyFill="1" applyBorder="1">
      <alignment/>
      <protection/>
    </xf>
    <xf numFmtId="0" fontId="54" fillId="37" borderId="12" xfId="60" applyFont="1" applyFill="1" applyBorder="1" applyAlignment="1">
      <alignment horizontal="left" indent="1"/>
      <protection/>
    </xf>
    <xf numFmtId="173" fontId="54" fillId="37" borderId="0" xfId="66" applyNumberFormat="1" applyFont="1" applyFill="1" applyBorder="1" applyAlignment="1">
      <alignment/>
    </xf>
    <xf numFmtId="173" fontId="54" fillId="37" borderId="13" xfId="66" applyNumberFormat="1" applyFont="1" applyFill="1" applyBorder="1" applyAlignment="1">
      <alignment/>
    </xf>
    <xf numFmtId="0" fontId="54" fillId="37" borderId="14" xfId="60" applyFont="1" applyFill="1" applyBorder="1" applyAlignment="1">
      <alignment horizontal="left" indent="1"/>
      <protection/>
    </xf>
    <xf numFmtId="173" fontId="54" fillId="37" borderId="17" xfId="66" applyNumberFormat="1" applyFont="1" applyFill="1" applyBorder="1" applyAlignment="1">
      <alignment/>
    </xf>
    <xf numFmtId="173" fontId="54" fillId="37" borderId="15" xfId="66" applyNumberFormat="1" applyFont="1" applyFill="1" applyBorder="1" applyAlignment="1">
      <alignment/>
    </xf>
    <xf numFmtId="0" fontId="54" fillId="37" borderId="0" xfId="60" applyFont="1" applyFill="1" applyBorder="1">
      <alignment/>
      <protection/>
    </xf>
    <xf numFmtId="0" fontId="54" fillId="37" borderId="13" xfId="60" applyFont="1" applyFill="1" applyBorder="1">
      <alignment/>
      <protection/>
    </xf>
    <xf numFmtId="174" fontId="34" fillId="37" borderId="0" xfId="62" applyNumberFormat="1" applyFont="1" applyFill="1">
      <alignment/>
      <protection/>
    </xf>
    <xf numFmtId="172" fontId="77" fillId="7" borderId="0" xfId="45" applyNumberFormat="1" applyFont="1" applyFill="1" applyAlignment="1">
      <alignment/>
    </xf>
    <xf numFmtId="167" fontId="34" fillId="37" borderId="0" xfId="62" applyNumberFormat="1" applyFont="1" applyFill="1">
      <alignment/>
      <protection/>
    </xf>
    <xf numFmtId="0" fontId="0" fillId="41" borderId="10" xfId="0" applyFill="1" applyBorder="1" applyAlignment="1">
      <alignment/>
    </xf>
    <xf numFmtId="0" fontId="0" fillId="41" borderId="16" xfId="0" applyFill="1" applyBorder="1" applyAlignment="1">
      <alignment/>
    </xf>
    <xf numFmtId="0" fontId="0" fillId="41" borderId="11" xfId="0" applyFill="1" applyBorder="1" applyAlignment="1">
      <alignment/>
    </xf>
    <xf numFmtId="0" fontId="0" fillId="41" borderId="12" xfId="0" applyFill="1" applyBorder="1" applyAlignment="1">
      <alignment/>
    </xf>
    <xf numFmtId="0" fontId="0" fillId="41" borderId="0" xfId="0" applyFill="1" applyBorder="1" applyAlignment="1">
      <alignment/>
    </xf>
    <xf numFmtId="0" fontId="0" fillId="41" borderId="13" xfId="0" applyFill="1" applyBorder="1" applyAlignment="1">
      <alignment/>
    </xf>
    <xf numFmtId="0" fontId="0" fillId="41" borderId="14" xfId="0" applyFill="1" applyBorder="1" applyAlignment="1">
      <alignment/>
    </xf>
    <xf numFmtId="0" fontId="0" fillId="41" borderId="17" xfId="0" applyFill="1" applyBorder="1" applyAlignment="1">
      <alignment horizontal="left" indent="4"/>
    </xf>
    <xf numFmtId="0" fontId="0" fillId="41" borderId="17" xfId="0" applyFill="1" applyBorder="1" applyAlignment="1">
      <alignment/>
    </xf>
    <xf numFmtId="0" fontId="0" fillId="41" borderId="15" xfId="0" applyFill="1" applyBorder="1" applyAlignment="1">
      <alignment/>
    </xf>
    <xf numFmtId="196" fontId="0" fillId="37" borderId="0" xfId="45" applyNumberFormat="1" applyFont="1" applyFill="1" applyAlignment="1">
      <alignment/>
    </xf>
    <xf numFmtId="0" fontId="0" fillId="37" borderId="12" xfId="62" applyNumberFormat="1" applyFont="1" applyFill="1" applyBorder="1" applyAlignment="1">
      <alignment horizontal="left" wrapText="1"/>
      <protection/>
    </xf>
    <xf numFmtId="0" fontId="0" fillId="37" borderId="14" xfId="62" applyNumberFormat="1" applyFont="1" applyFill="1" applyBorder="1" applyAlignment="1">
      <alignment horizontal="left" wrapText="1"/>
      <protection/>
    </xf>
    <xf numFmtId="0" fontId="72" fillId="33" borderId="0" xfId="62" applyFont="1" applyFill="1" applyAlignment="1">
      <alignment horizontal="left" wrapText="1"/>
      <protection/>
    </xf>
    <xf numFmtId="0" fontId="72" fillId="33" borderId="0" xfId="62" applyFont="1" applyFill="1" applyAlignment="1">
      <alignment horizontal="left" vertical="top" wrapText="1"/>
      <protection/>
    </xf>
    <xf numFmtId="0" fontId="4" fillId="37" borderId="0" xfId="62" applyFont="1" applyFill="1" applyAlignment="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Currency 4" xfId="49"/>
    <cellStyle name="Currency 5"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3" xfId="62"/>
    <cellStyle name="Normal_Tustin-Prototypes" xfId="63"/>
    <cellStyle name="Note" xfId="64"/>
    <cellStyle name="Output" xfId="65"/>
    <cellStyle name="Percent" xfId="66"/>
    <cellStyle name="Percent 2" xfId="67"/>
    <cellStyle name="Percent 3" xfId="68"/>
    <cellStyle name="Percent 4" xfId="69"/>
    <cellStyle name="Percent 5" xfId="70"/>
    <cellStyle name="Title" xfId="71"/>
    <cellStyle name="Total" xfId="72"/>
    <cellStyle name="Warning Text" xfId="7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aimann\Dropbox%20(ECONW)\21274.01%20Austin%20Affordability%20Analysis\Data\Frego%20Prototypes\ALDC_Prototypes_Phase3\11_T6C_GeneralOffice_ET_BuildingPrototyper_ROI_Model_v3.8.3_ALDC_10311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hysical Inputs"/>
      <sheetName val="Quick Start Guide"/>
      <sheetName val="Physical Outputs"/>
      <sheetName val="TransectSummary"/>
      <sheetName val="Basic Financial"/>
      <sheetName val="Input Calculators"/>
      <sheetName val="Advanced Financial"/>
      <sheetName val="Fixed Parameters"/>
      <sheetName val="Calculations"/>
      <sheetName val="ROI Scenario"/>
      <sheetName val="Green Infrastructure"/>
      <sheetName val="Trip Generation"/>
      <sheetName val="Gap Financing Options"/>
      <sheetName val="Gap Financing Definitions"/>
      <sheetName val="Hotel"/>
      <sheetName val="Residential Owner"/>
      <sheetName val="Residential Rental"/>
      <sheetName val="Retail"/>
      <sheetName val="Office"/>
      <sheetName val="Industrial"/>
      <sheetName val="Commercial Parking"/>
      <sheetName val="Mixed-Use Summary"/>
      <sheetName val="Building Envelope Calculator"/>
      <sheetName val="Prototype Modeler"/>
      <sheetName val="Development Costs"/>
      <sheetName val="Scenario Spreadsheet"/>
      <sheetName val="Metric Translation"/>
      <sheetName val="PRINT_SUMMARY"/>
      <sheetName val="ChangeLog"/>
    </sheetNames>
    <sheetDataSet>
      <sheetData sheetId="0">
        <row r="70">
          <cell r="B70">
            <v>1</v>
          </cell>
        </row>
        <row r="85">
          <cell r="C85">
            <v>260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29"/>
  <sheetViews>
    <sheetView tabSelected="1" zoomScalePageLayoutView="0" workbookViewId="0" topLeftCell="A1">
      <selection activeCell="B1" sqref="B1"/>
    </sheetView>
  </sheetViews>
  <sheetFormatPr defaultColWidth="10.875" defaultRowHeight="15.75"/>
  <cols>
    <col min="1" max="1" width="5.00390625" style="28" customWidth="1"/>
    <col min="2" max="2" width="22.125" style="28" customWidth="1"/>
    <col min="3" max="3" width="122.875" style="28" customWidth="1"/>
    <col min="4" max="4" width="43.00390625" style="28" customWidth="1"/>
    <col min="5" max="16384" width="10.875" style="28" customWidth="1"/>
  </cols>
  <sheetData>
    <row r="1" s="140" customFormat="1" ht="26.25">
      <c r="A1" s="139" t="str">
        <f ca="1">MID(CELL("filename",A1),FIND("]",CELL("filename",A1))+1,255)</f>
        <v>Overview</v>
      </c>
    </row>
    <row r="2" spans="1:46" s="2" customFormat="1" ht="31.5">
      <c r="A2" s="1" t="s">
        <v>13</v>
      </c>
      <c r="E2" s="50"/>
      <c r="N2" s="3"/>
      <c r="U2" s="3"/>
      <c r="V2" s="3"/>
      <c r="AA2" s="3"/>
      <c r="AB2" s="3"/>
      <c r="AC2" s="3"/>
      <c r="AD2" s="3"/>
      <c r="AF2" s="3"/>
      <c r="AG2" s="3"/>
      <c r="AH2" s="3"/>
      <c r="AI2" s="3"/>
      <c r="AJ2" s="3"/>
      <c r="AK2" s="3"/>
      <c r="AL2" s="3"/>
      <c r="AM2" s="3"/>
      <c r="AN2" s="3"/>
      <c r="AO2" s="3"/>
      <c r="AP2" s="3"/>
      <c r="AQ2" s="3"/>
      <c r="AR2" s="3"/>
      <c r="AS2" s="3"/>
      <c r="AT2" s="3"/>
    </row>
    <row r="3" spans="1:46" s="2" customFormat="1" ht="18.75">
      <c r="A3" s="4" t="s">
        <v>0</v>
      </c>
      <c r="E3" s="50"/>
      <c r="K3" s="3"/>
      <c r="M3" s="3"/>
      <c r="N3" s="3"/>
      <c r="O3" s="3"/>
      <c r="P3" s="3"/>
      <c r="Q3" s="3"/>
      <c r="R3" s="3"/>
      <c r="S3" s="3"/>
      <c r="T3" s="3"/>
      <c r="U3" s="3"/>
      <c r="V3" s="3"/>
      <c r="AA3" s="3"/>
      <c r="AB3" s="3"/>
      <c r="AC3" s="3"/>
      <c r="AD3" s="3"/>
      <c r="AF3" s="3"/>
      <c r="AG3" s="3"/>
      <c r="AH3" s="3"/>
      <c r="AI3" s="3"/>
      <c r="AJ3" s="3"/>
      <c r="AK3" s="3"/>
      <c r="AL3" s="3"/>
      <c r="AM3" s="3"/>
      <c r="AN3" s="3"/>
      <c r="AO3" s="3"/>
      <c r="AP3" s="3"/>
      <c r="AQ3" s="3"/>
      <c r="AR3" s="3"/>
      <c r="AS3" s="3"/>
      <c r="AT3" s="3"/>
    </row>
    <row r="4" spans="2:46" s="2" customFormat="1" ht="15.75">
      <c r="B4" s="5"/>
      <c r="C4" s="5"/>
      <c r="D4" s="5"/>
      <c r="E4" s="51"/>
      <c r="F4" s="5"/>
      <c r="G4" s="5"/>
      <c r="H4" s="5"/>
      <c r="I4" s="5"/>
      <c r="J4" s="5"/>
      <c r="K4" s="3"/>
      <c r="L4" s="5"/>
      <c r="M4" s="3"/>
      <c r="N4" s="3"/>
      <c r="O4" s="3"/>
      <c r="P4" s="3"/>
      <c r="Q4" s="3"/>
      <c r="R4" s="3"/>
      <c r="S4" s="3"/>
      <c r="T4" s="3"/>
      <c r="U4" s="3"/>
      <c r="V4" s="3"/>
      <c r="AL4" s="3"/>
      <c r="AM4" s="3"/>
      <c r="AN4" s="3"/>
      <c r="AO4" s="3"/>
      <c r="AP4" s="3"/>
      <c r="AQ4" s="3"/>
      <c r="AR4" s="3"/>
      <c r="AS4" s="3"/>
      <c r="AT4" s="3"/>
    </row>
    <row r="5" spans="1:46" s="2" customFormat="1" ht="18.75">
      <c r="A5" s="6" t="s">
        <v>272</v>
      </c>
      <c r="B5" s="5"/>
      <c r="C5" s="5"/>
      <c r="D5" s="5"/>
      <c r="E5" s="51"/>
      <c r="F5" s="5"/>
      <c r="G5" s="5"/>
      <c r="H5" s="5"/>
      <c r="I5" s="5"/>
      <c r="J5" s="5"/>
      <c r="K5" s="3"/>
      <c r="L5" s="5"/>
      <c r="M5" s="3"/>
      <c r="N5" s="3"/>
      <c r="O5" s="3"/>
      <c r="P5" s="3"/>
      <c r="Q5" s="3"/>
      <c r="R5" s="3"/>
      <c r="S5" s="3"/>
      <c r="T5" s="3"/>
      <c r="U5" s="3"/>
      <c r="V5" s="3"/>
      <c r="AL5" s="3"/>
      <c r="AM5" s="3"/>
      <c r="AN5" s="3"/>
      <c r="AO5" s="3"/>
      <c r="AP5" s="3"/>
      <c r="AQ5" s="3"/>
      <c r="AR5" s="3"/>
      <c r="AS5" s="3"/>
      <c r="AT5" s="3"/>
    </row>
    <row r="6" spans="1:46" s="10" customFormat="1" ht="15.75">
      <c r="A6" s="7"/>
      <c r="B6" s="8"/>
      <c r="C6" s="8"/>
      <c r="D6" s="8"/>
      <c r="E6" s="52"/>
      <c r="F6" s="8"/>
      <c r="G6" s="8"/>
      <c r="H6" s="8"/>
      <c r="I6" s="8"/>
      <c r="J6" s="8"/>
      <c r="K6" s="9"/>
      <c r="L6" s="8"/>
      <c r="M6" s="9"/>
      <c r="N6" s="9"/>
      <c r="O6" s="9"/>
      <c r="P6" s="9"/>
      <c r="Q6" s="9"/>
      <c r="R6" s="9"/>
      <c r="S6" s="9"/>
      <c r="T6" s="9"/>
      <c r="U6" s="9"/>
      <c r="V6" s="9"/>
      <c r="AA6" s="9"/>
      <c r="AB6" s="9"/>
      <c r="AC6" s="9"/>
      <c r="AD6" s="9"/>
      <c r="AF6" s="9"/>
      <c r="AG6" s="9"/>
      <c r="AH6" s="9"/>
      <c r="AI6" s="9"/>
      <c r="AJ6" s="9"/>
      <c r="AK6" s="9"/>
      <c r="AL6" s="9"/>
      <c r="AM6" s="9"/>
      <c r="AN6" s="9"/>
      <c r="AO6" s="9"/>
      <c r="AP6" s="9"/>
      <c r="AQ6" s="9"/>
      <c r="AR6" s="9"/>
      <c r="AS6" s="9"/>
      <c r="AT6" s="9"/>
    </row>
    <row r="7" ht="15.75">
      <c r="A7" s="28" t="s">
        <v>275</v>
      </c>
    </row>
    <row r="8" ht="15.75">
      <c r="A8" s="28" t="s">
        <v>330</v>
      </c>
    </row>
    <row r="9" spans="1:11" s="190" customFormat="1" ht="15.75">
      <c r="A9" s="198" t="s">
        <v>277</v>
      </c>
      <c r="B9" s="187"/>
      <c r="C9" s="187"/>
      <c r="D9" s="187"/>
      <c r="E9" s="187"/>
      <c r="F9" s="187"/>
      <c r="G9" s="187"/>
      <c r="H9" s="187"/>
      <c r="I9" s="187"/>
      <c r="J9" s="187"/>
      <c r="K9" s="187"/>
    </row>
    <row r="10" spans="1:11" s="190" customFormat="1" ht="15.75">
      <c r="A10" s="198" t="s">
        <v>349</v>
      </c>
      <c r="B10" s="187"/>
      <c r="C10" s="187"/>
      <c r="D10" s="187"/>
      <c r="E10" s="187"/>
      <c r="F10" s="187"/>
      <c r="G10" s="187"/>
      <c r="H10" s="187"/>
      <c r="I10" s="187"/>
      <c r="J10" s="187"/>
      <c r="K10" s="187"/>
    </row>
    <row r="11" ht="15.75">
      <c r="A11" s="28" t="s">
        <v>276</v>
      </c>
    </row>
    <row r="13" ht="15.75">
      <c r="A13" s="201" t="s">
        <v>270</v>
      </c>
    </row>
    <row r="14" spans="2:3" ht="21" customHeight="1">
      <c r="B14" s="188" t="str">
        <f>'23-4 Bonuses'!A1</f>
        <v>23-4 Bonuses</v>
      </c>
      <c r="C14" s="256" t="s">
        <v>369</v>
      </c>
    </row>
    <row r="15" spans="2:3" ht="48.75" customHeight="1">
      <c r="B15" s="188" t="str">
        <f>Assumptions!A1</f>
        <v>Assumptions</v>
      </c>
      <c r="C15" s="256" t="s">
        <v>368</v>
      </c>
    </row>
    <row r="16" spans="2:3" ht="48.75" customHeight="1">
      <c r="B16" s="188" t="str">
        <f>Affordability!A1</f>
        <v>Affordability</v>
      </c>
      <c r="C16" s="256" t="s">
        <v>432</v>
      </c>
    </row>
    <row r="17" spans="2:3" ht="33.75" customHeight="1">
      <c r="B17" s="188" t="str">
        <f>'Pro Forma'!A1</f>
        <v>Pro Forma</v>
      </c>
      <c r="C17" s="256" t="s">
        <v>350</v>
      </c>
    </row>
    <row r="18" spans="2:3" ht="33.75" customHeight="1">
      <c r="B18" s="188" t="str">
        <f>Policy!A1</f>
        <v>Policy</v>
      </c>
      <c r="C18" s="256" t="s">
        <v>431</v>
      </c>
    </row>
    <row r="19" spans="2:3" ht="48.75" customHeight="1">
      <c r="B19" s="188" t="str">
        <f>'Local Data'!A1</f>
        <v>Local Data</v>
      </c>
      <c r="C19" s="189" t="s">
        <v>382</v>
      </c>
    </row>
    <row r="21" spans="1:10" ht="15.75">
      <c r="A21" s="28" t="s">
        <v>352</v>
      </c>
      <c r="D21" s="33"/>
      <c r="J21" s="33"/>
    </row>
    <row r="22" spans="2:3" ht="15.75">
      <c r="B22" s="200" t="s">
        <v>315</v>
      </c>
      <c r="C22" s="33" t="s">
        <v>313</v>
      </c>
    </row>
    <row r="23" spans="2:3" ht="15.75">
      <c r="B23" s="200" t="s">
        <v>314</v>
      </c>
      <c r="C23" s="28" t="s">
        <v>312</v>
      </c>
    </row>
    <row r="26" ht="16.5" thickBot="1"/>
    <row r="27" spans="1:4" ht="15.75">
      <c r="A27" s="297" t="s">
        <v>419</v>
      </c>
      <c r="B27" s="298"/>
      <c r="C27" s="298"/>
      <c r="D27" s="299"/>
    </row>
    <row r="28" spans="1:4" ht="15.75">
      <c r="A28" s="300"/>
      <c r="B28" s="301" t="s">
        <v>420</v>
      </c>
      <c r="C28" s="301"/>
      <c r="D28" s="302"/>
    </row>
    <row r="29" spans="1:4" ht="16.5" thickBot="1">
      <c r="A29" s="303"/>
      <c r="B29" s="304" t="s">
        <v>421</v>
      </c>
      <c r="C29" s="305"/>
      <c r="D29" s="306"/>
    </row>
  </sheetData>
  <sheetProtection/>
  <printOptions/>
  <pageMargins left="0.7" right="0.7" top="0.75" bottom="0.75" header="0.3" footer="0.3"/>
  <pageSetup orientation="portrait" scale="56"/>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A1:AT26"/>
  <sheetViews>
    <sheetView zoomScalePageLayoutView="0" workbookViewId="0" topLeftCell="A1">
      <selection activeCell="A1" sqref="A1"/>
    </sheetView>
  </sheetViews>
  <sheetFormatPr defaultColWidth="10.875" defaultRowHeight="15.75"/>
  <cols>
    <col min="1" max="1" width="3.00390625" style="25" customWidth="1"/>
    <col min="2" max="2" width="45.375" style="25" customWidth="1"/>
    <col min="3" max="3" width="14.875" style="152" bestFit="1" customWidth="1"/>
    <col min="4" max="5" width="14.875" style="152" customWidth="1"/>
    <col min="6" max="13" width="14.875" style="26" customWidth="1"/>
    <col min="14" max="15" width="14.875" style="25" customWidth="1"/>
    <col min="16" max="25" width="14.875" style="26" customWidth="1"/>
    <col min="26" max="37" width="15.375" style="25" customWidth="1"/>
    <col min="38" max="39" width="14.625" style="25" customWidth="1"/>
    <col min="40" max="16384" width="10.875" style="25" customWidth="1"/>
  </cols>
  <sheetData>
    <row r="1" s="140" customFormat="1" ht="26.25">
      <c r="A1" s="139" t="str">
        <f ca="1">MID(CELL("filename",A1),FIND("]",CELL("filename",A1))+1,255)</f>
        <v>23-4 Bonuses</v>
      </c>
    </row>
    <row r="2" spans="1:46" s="2" customFormat="1" ht="30" customHeight="1">
      <c r="A2" s="310" t="str">
        <f>Overview!C14</f>
        <v>This tab includes the bonus information as defined in CodeNEXT Draft 3 Chapter 23-4: "Zoning Code" for each zone with an AHBP bonus.</v>
      </c>
      <c r="B2" s="310"/>
      <c r="C2" s="310"/>
      <c r="D2" s="310"/>
      <c r="E2" s="310"/>
      <c r="F2" s="5"/>
      <c r="G2" s="5"/>
      <c r="H2" s="5"/>
      <c r="I2" s="5"/>
      <c r="J2" s="5"/>
      <c r="K2" s="3"/>
      <c r="L2" s="5"/>
      <c r="M2" s="3"/>
      <c r="N2" s="3"/>
      <c r="O2" s="3"/>
      <c r="P2" s="3"/>
      <c r="Q2" s="3"/>
      <c r="R2" s="3"/>
      <c r="S2" s="3"/>
      <c r="T2" s="3"/>
      <c r="U2" s="3"/>
      <c r="V2" s="3"/>
      <c r="AL2" s="3"/>
      <c r="AM2" s="3"/>
      <c r="AN2" s="3"/>
      <c r="AO2" s="3"/>
      <c r="AP2" s="3"/>
      <c r="AQ2" s="3"/>
      <c r="AR2" s="3"/>
      <c r="AS2" s="3"/>
      <c r="AT2" s="3"/>
    </row>
    <row r="3" spans="1:46" s="10" customFormat="1" ht="15.75">
      <c r="A3" s="7"/>
      <c r="B3" s="8"/>
      <c r="C3" s="8"/>
      <c r="D3" s="8"/>
      <c r="E3" s="52"/>
      <c r="F3" s="8"/>
      <c r="G3" s="8"/>
      <c r="H3" s="8"/>
      <c r="I3" s="8"/>
      <c r="J3" s="8"/>
      <c r="K3" s="9"/>
      <c r="L3" s="8"/>
      <c r="M3" s="9"/>
      <c r="N3" s="9"/>
      <c r="O3" s="9"/>
      <c r="P3" s="9"/>
      <c r="Q3" s="9"/>
      <c r="R3" s="9"/>
      <c r="S3" s="9"/>
      <c r="T3" s="9"/>
      <c r="U3" s="9"/>
      <c r="V3" s="9"/>
      <c r="AA3" s="9"/>
      <c r="AB3" s="9"/>
      <c r="AC3" s="9"/>
      <c r="AD3" s="9"/>
      <c r="AF3" s="9"/>
      <c r="AG3" s="9"/>
      <c r="AH3" s="9"/>
      <c r="AI3" s="9"/>
      <c r="AJ3" s="9"/>
      <c r="AK3" s="9"/>
      <c r="AL3" s="9"/>
      <c r="AM3" s="9"/>
      <c r="AN3" s="9"/>
      <c r="AO3" s="9"/>
      <c r="AP3" s="9"/>
      <c r="AQ3" s="9"/>
      <c r="AR3" s="9"/>
      <c r="AS3" s="9"/>
      <c r="AT3" s="9"/>
    </row>
    <row r="4" spans="1:46" s="156" customFormat="1" ht="15.75">
      <c r="A4" s="257"/>
      <c r="B4" s="194"/>
      <c r="C4" s="194"/>
      <c r="D4" s="194"/>
      <c r="E4" s="194"/>
      <c r="F4" s="194"/>
      <c r="G4" s="194"/>
      <c r="H4" s="194"/>
      <c r="I4" s="194"/>
      <c r="J4" s="194"/>
      <c r="K4" s="152"/>
      <c r="L4" s="194"/>
      <c r="M4" s="152"/>
      <c r="N4" s="152"/>
      <c r="O4" s="152"/>
      <c r="P4" s="152"/>
      <c r="Q4" s="152"/>
      <c r="R4" s="152"/>
      <c r="S4" s="152"/>
      <c r="T4" s="152"/>
      <c r="U4" s="152"/>
      <c r="V4" s="152"/>
      <c r="AA4" s="152"/>
      <c r="AB4" s="152"/>
      <c r="AC4" s="152"/>
      <c r="AD4" s="152"/>
      <c r="AF4" s="152"/>
      <c r="AG4" s="152"/>
      <c r="AH4" s="152"/>
      <c r="AI4" s="152"/>
      <c r="AJ4" s="152"/>
      <c r="AK4" s="152"/>
      <c r="AL4" s="152"/>
      <c r="AM4" s="152"/>
      <c r="AN4" s="152"/>
      <c r="AO4" s="152"/>
      <c r="AP4" s="152"/>
      <c r="AQ4" s="152"/>
      <c r="AR4" s="152"/>
      <c r="AS4" s="152"/>
      <c r="AT4" s="152"/>
    </row>
    <row r="5" spans="1:46" s="156" customFormat="1" ht="15.75">
      <c r="A5" s="257"/>
      <c r="B5" s="258" t="s">
        <v>370</v>
      </c>
      <c r="C5" s="194"/>
      <c r="D5" s="194"/>
      <c r="E5" s="194"/>
      <c r="F5" s="194"/>
      <c r="G5" s="194"/>
      <c r="H5" s="194"/>
      <c r="I5" s="194"/>
      <c r="J5" s="194"/>
      <c r="K5" s="152"/>
      <c r="L5" s="194"/>
      <c r="M5" s="152"/>
      <c r="N5" s="152"/>
      <c r="O5" s="152"/>
      <c r="P5" s="152"/>
      <c r="Q5" s="152"/>
      <c r="R5" s="152"/>
      <c r="S5" s="152"/>
      <c r="T5" s="152"/>
      <c r="U5" s="152"/>
      <c r="V5" s="152"/>
      <c r="AA5" s="152"/>
      <c r="AB5" s="152"/>
      <c r="AC5" s="152"/>
      <c r="AD5" s="152"/>
      <c r="AF5" s="152"/>
      <c r="AG5" s="152"/>
      <c r="AH5" s="152"/>
      <c r="AI5" s="152"/>
      <c r="AJ5" s="152"/>
      <c r="AK5" s="152"/>
      <c r="AL5" s="152"/>
      <c r="AM5" s="152"/>
      <c r="AN5" s="152"/>
      <c r="AO5" s="152"/>
      <c r="AP5" s="152"/>
      <c r="AQ5" s="152"/>
      <c r="AR5" s="152"/>
      <c r="AS5" s="152"/>
      <c r="AT5" s="152"/>
    </row>
    <row r="6" spans="1:39" s="170" customFormat="1" ht="15.75">
      <c r="A6" s="171"/>
      <c r="B6" s="171"/>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row>
    <row r="7" s="140" customFormat="1" ht="21">
      <c r="A7" s="199" t="s">
        <v>271</v>
      </c>
    </row>
    <row r="8" spans="1:25" s="10" customFormat="1" ht="15.75">
      <c r="A8" s="7" t="s">
        <v>1</v>
      </c>
      <c r="B8" s="8"/>
      <c r="C8" s="141"/>
      <c r="D8" s="141"/>
      <c r="E8" s="141"/>
      <c r="F8" s="9"/>
      <c r="G8" s="9"/>
      <c r="H8" s="9"/>
      <c r="I8" s="9"/>
      <c r="J8" s="9"/>
      <c r="K8" s="9"/>
      <c r="L8" s="9"/>
      <c r="M8" s="9"/>
      <c r="P8" s="9"/>
      <c r="Q8" s="9"/>
      <c r="R8" s="9"/>
      <c r="S8" s="9"/>
      <c r="T8" s="9"/>
      <c r="U8" s="9"/>
      <c r="V8" s="9"/>
      <c r="W8" s="9"/>
      <c r="X8" s="9"/>
      <c r="Y8" s="9"/>
    </row>
    <row r="9" spans="2:39" s="11" customFormat="1" ht="15.75">
      <c r="B9" s="12" t="s">
        <v>184</v>
      </c>
      <c r="C9" s="142" t="s">
        <v>189</v>
      </c>
      <c r="D9" s="142" t="s">
        <v>193</v>
      </c>
      <c r="E9" s="142" t="s">
        <v>195</v>
      </c>
      <c r="F9" s="11" t="s">
        <v>197</v>
      </c>
      <c r="G9" s="11" t="s">
        <v>199</v>
      </c>
      <c r="H9" s="11" t="s">
        <v>202</v>
      </c>
      <c r="I9" s="11" t="s">
        <v>204</v>
      </c>
      <c r="J9" s="11" t="s">
        <v>205</v>
      </c>
      <c r="K9" s="11" t="s">
        <v>206</v>
      </c>
      <c r="L9" s="11" t="s">
        <v>207</v>
      </c>
      <c r="M9" s="11" t="s">
        <v>215</v>
      </c>
      <c r="N9" s="11" t="s">
        <v>217</v>
      </c>
      <c r="O9" s="11" t="s">
        <v>219</v>
      </c>
      <c r="P9" s="11" t="s">
        <v>221</v>
      </c>
      <c r="Q9" s="11" t="s">
        <v>223</v>
      </c>
      <c r="R9" s="11" t="s">
        <v>225</v>
      </c>
      <c r="S9" s="11" t="s">
        <v>226</v>
      </c>
      <c r="T9" s="11" t="s">
        <v>228</v>
      </c>
      <c r="U9" s="11" t="s">
        <v>229</v>
      </c>
      <c r="V9" s="11" t="s">
        <v>231</v>
      </c>
      <c r="W9" s="13" t="s">
        <v>232</v>
      </c>
      <c r="X9" s="13" t="s">
        <v>234</v>
      </c>
      <c r="Y9" s="13" t="s">
        <v>235</v>
      </c>
      <c r="Z9" s="13" t="s">
        <v>236</v>
      </c>
      <c r="AA9" s="13" t="s">
        <v>239</v>
      </c>
      <c r="AB9" s="13" t="s">
        <v>240</v>
      </c>
      <c r="AC9" s="13" t="s">
        <v>242</v>
      </c>
      <c r="AD9" s="13" t="s">
        <v>244</v>
      </c>
      <c r="AE9" s="13" t="s">
        <v>247</v>
      </c>
      <c r="AF9" s="13" t="s">
        <v>249</v>
      </c>
      <c r="AG9" s="13" t="s">
        <v>250</v>
      </c>
      <c r="AH9" s="13" t="s">
        <v>251</v>
      </c>
      <c r="AI9" s="13" t="s">
        <v>252</v>
      </c>
      <c r="AJ9" s="13" t="s">
        <v>253</v>
      </c>
      <c r="AK9" s="13" t="s">
        <v>254</v>
      </c>
      <c r="AL9" s="13" t="s">
        <v>255</v>
      </c>
      <c r="AM9" s="11" t="s">
        <v>2</v>
      </c>
    </row>
    <row r="10" spans="2:39" s="11" customFormat="1" ht="15.75">
      <c r="B10" s="12" t="s">
        <v>185</v>
      </c>
      <c r="C10" s="142" t="s">
        <v>190</v>
      </c>
      <c r="D10" s="142" t="s">
        <v>194</v>
      </c>
      <c r="E10" s="142" t="s">
        <v>196</v>
      </c>
      <c r="F10" s="11" t="s">
        <v>198</v>
      </c>
      <c r="G10" s="11" t="s">
        <v>200</v>
      </c>
      <c r="H10" s="11" t="s">
        <v>203</v>
      </c>
      <c r="I10" s="11" t="s">
        <v>208</v>
      </c>
      <c r="J10" s="11" t="s">
        <v>209</v>
      </c>
      <c r="K10" s="11" t="s">
        <v>210</v>
      </c>
      <c r="L10" s="11" t="s">
        <v>211</v>
      </c>
      <c r="M10" s="11" t="s">
        <v>216</v>
      </c>
      <c r="N10" s="11" t="s">
        <v>218</v>
      </c>
      <c r="O10" s="11" t="s">
        <v>220</v>
      </c>
      <c r="P10" s="11" t="s">
        <v>222</v>
      </c>
      <c r="Q10" s="11" t="s">
        <v>224</v>
      </c>
      <c r="R10" s="11" t="s">
        <v>224</v>
      </c>
      <c r="S10" s="11" t="s">
        <v>227</v>
      </c>
      <c r="T10" s="11" t="s">
        <v>227</v>
      </c>
      <c r="U10" s="11" t="s">
        <v>230</v>
      </c>
      <c r="V10" s="11" t="s">
        <v>230</v>
      </c>
      <c r="W10" s="13" t="s">
        <v>233</v>
      </c>
      <c r="X10" s="13" t="s">
        <v>233</v>
      </c>
      <c r="Y10" s="13" t="s">
        <v>237</v>
      </c>
      <c r="Z10" s="13" t="s">
        <v>237</v>
      </c>
      <c r="AA10" s="13" t="s">
        <v>241</v>
      </c>
      <c r="AB10" s="13" t="s">
        <v>241</v>
      </c>
      <c r="AC10" s="13" t="s">
        <v>243</v>
      </c>
      <c r="AD10" s="13" t="s">
        <v>245</v>
      </c>
      <c r="AE10" s="13" t="s">
        <v>248</v>
      </c>
      <c r="AF10" s="13" t="s">
        <v>3</v>
      </c>
      <c r="AG10" s="13" t="s">
        <v>3</v>
      </c>
      <c r="AH10" s="13" t="s">
        <v>3</v>
      </c>
      <c r="AI10" s="13" t="s">
        <v>3</v>
      </c>
      <c r="AJ10" s="13" t="s">
        <v>256</v>
      </c>
      <c r="AK10" s="13" t="s">
        <v>256</v>
      </c>
      <c r="AL10" s="13" t="s">
        <v>256</v>
      </c>
      <c r="AM10" s="11" t="s">
        <v>4</v>
      </c>
    </row>
    <row r="11" spans="2:39" s="11" customFormat="1" ht="15.75">
      <c r="B11" s="12" t="s">
        <v>188</v>
      </c>
      <c r="C11" s="142" t="s">
        <v>191</v>
      </c>
      <c r="D11" s="142" t="s">
        <v>191</v>
      </c>
      <c r="E11" s="142" t="s">
        <v>191</v>
      </c>
      <c r="F11" s="11" t="s">
        <v>191</v>
      </c>
      <c r="G11" s="11" t="s">
        <v>191</v>
      </c>
      <c r="H11" s="11" t="s">
        <v>191</v>
      </c>
      <c r="I11" s="11" t="s">
        <v>191</v>
      </c>
      <c r="J11" s="11" t="s">
        <v>191</v>
      </c>
      <c r="K11" s="11" t="s">
        <v>212</v>
      </c>
      <c r="L11" s="12" t="s">
        <v>191</v>
      </c>
      <c r="M11" s="11" t="s">
        <v>191</v>
      </c>
      <c r="N11" s="11" t="s">
        <v>191</v>
      </c>
      <c r="O11" s="11" t="s">
        <v>191</v>
      </c>
      <c r="P11" s="11" t="s">
        <v>191</v>
      </c>
      <c r="Q11" s="11" t="s">
        <v>191</v>
      </c>
      <c r="R11" s="11" t="s">
        <v>191</v>
      </c>
      <c r="S11" s="11" t="s">
        <v>191</v>
      </c>
      <c r="T11" s="11" t="s">
        <v>191</v>
      </c>
      <c r="U11" s="11" t="s">
        <v>191</v>
      </c>
      <c r="V11" s="11" t="s">
        <v>191</v>
      </c>
      <c r="W11" s="11" t="s">
        <v>191</v>
      </c>
      <c r="X11" s="11" t="s">
        <v>191</v>
      </c>
      <c r="Y11" s="12" t="s">
        <v>191</v>
      </c>
      <c r="Z11" s="12" t="s">
        <v>191</v>
      </c>
      <c r="AA11" s="12" t="s">
        <v>191</v>
      </c>
      <c r="AB11" s="12" t="s">
        <v>191</v>
      </c>
      <c r="AC11" s="12" t="s">
        <v>191</v>
      </c>
      <c r="AD11" s="12" t="s">
        <v>246</v>
      </c>
      <c r="AE11" s="12" t="s">
        <v>246</v>
      </c>
      <c r="AF11" s="12"/>
      <c r="AG11" s="12"/>
      <c r="AH11" s="12"/>
      <c r="AI11" s="12"/>
      <c r="AJ11" s="12" t="s">
        <v>246</v>
      </c>
      <c r="AK11" s="12" t="s">
        <v>246</v>
      </c>
      <c r="AL11" s="12" t="s">
        <v>246</v>
      </c>
      <c r="AM11" s="11" t="s">
        <v>246</v>
      </c>
    </row>
    <row r="12" spans="2:39" s="11" customFormat="1" ht="15.75">
      <c r="B12" s="12" t="s">
        <v>174</v>
      </c>
      <c r="C12" s="142" t="s">
        <v>192</v>
      </c>
      <c r="D12" s="142" t="s">
        <v>192</v>
      </c>
      <c r="E12" s="142" t="s">
        <v>192</v>
      </c>
      <c r="F12" s="14" t="s">
        <v>175</v>
      </c>
      <c r="G12" s="14" t="s">
        <v>201</v>
      </c>
      <c r="H12" s="14" t="s">
        <v>175</v>
      </c>
      <c r="I12" s="14" t="s">
        <v>213</v>
      </c>
      <c r="J12" s="14" t="s">
        <v>201</v>
      </c>
      <c r="K12" s="14" t="s">
        <v>214</v>
      </c>
      <c r="L12" s="14" t="s">
        <v>175</v>
      </c>
      <c r="M12" s="14" t="s">
        <v>213</v>
      </c>
      <c r="N12" s="14" t="s">
        <v>213</v>
      </c>
      <c r="O12" s="14" t="s">
        <v>201</v>
      </c>
      <c r="P12" s="14" t="s">
        <v>201</v>
      </c>
      <c r="Q12" s="12" t="s">
        <v>201</v>
      </c>
      <c r="R12" s="12" t="s">
        <v>201</v>
      </c>
      <c r="S12" s="12" t="s">
        <v>201</v>
      </c>
      <c r="T12" s="12" t="s">
        <v>201</v>
      </c>
      <c r="U12" s="12" t="s">
        <v>201</v>
      </c>
      <c r="V12" s="12" t="s">
        <v>201</v>
      </c>
      <c r="W12" s="12" t="s">
        <v>201</v>
      </c>
      <c r="X12" s="12" t="s">
        <v>201</v>
      </c>
      <c r="Y12" s="12" t="s">
        <v>213</v>
      </c>
      <c r="Z12" s="12" t="s">
        <v>213</v>
      </c>
      <c r="AA12" s="14" t="s">
        <v>213</v>
      </c>
      <c r="AB12" s="14" t="s">
        <v>213</v>
      </c>
      <c r="AC12" s="12" t="s">
        <v>201</v>
      </c>
      <c r="AD12" s="14" t="s">
        <v>177</v>
      </c>
      <c r="AE12" s="14" t="s">
        <v>177</v>
      </c>
      <c r="AF12" s="14" t="s">
        <v>238</v>
      </c>
      <c r="AG12" s="14" t="s">
        <v>238</v>
      </c>
      <c r="AH12" s="14" t="s">
        <v>238</v>
      </c>
      <c r="AI12" s="14" t="s">
        <v>238</v>
      </c>
      <c r="AJ12" s="14" t="s">
        <v>177</v>
      </c>
      <c r="AK12" s="14" t="s">
        <v>177</v>
      </c>
      <c r="AL12" s="14" t="s">
        <v>177</v>
      </c>
      <c r="AM12" s="11" t="s">
        <v>176</v>
      </c>
    </row>
    <row r="13" spans="1:5" s="8" customFormat="1" ht="15.75">
      <c r="A13" s="15" t="s">
        <v>186</v>
      </c>
      <c r="C13" s="143"/>
      <c r="D13" s="143"/>
      <c r="E13" s="143"/>
    </row>
    <row r="14" spans="2:39" s="11" customFormat="1" ht="15.75">
      <c r="B14" s="11" t="s">
        <v>7</v>
      </c>
      <c r="C14" s="144">
        <v>4</v>
      </c>
      <c r="D14" s="144">
        <v>4</v>
      </c>
      <c r="E14" s="144">
        <v>4</v>
      </c>
      <c r="F14" s="16" t="s">
        <v>5</v>
      </c>
      <c r="G14" s="16" t="s">
        <v>5</v>
      </c>
      <c r="H14" s="16" t="s">
        <v>5</v>
      </c>
      <c r="I14" s="16" t="s">
        <v>5</v>
      </c>
      <c r="J14" s="16" t="s">
        <v>5</v>
      </c>
      <c r="K14" s="16" t="s">
        <v>5</v>
      </c>
      <c r="L14" s="16" t="s">
        <v>5</v>
      </c>
      <c r="M14" s="16" t="s">
        <v>5</v>
      </c>
      <c r="N14" s="16" t="s">
        <v>5</v>
      </c>
      <c r="O14" s="16" t="s">
        <v>5</v>
      </c>
      <c r="P14" s="16" t="s">
        <v>5</v>
      </c>
      <c r="Q14" s="16" t="s">
        <v>5</v>
      </c>
      <c r="R14" s="16" t="s">
        <v>5</v>
      </c>
      <c r="S14" s="16" t="s">
        <v>5</v>
      </c>
      <c r="T14" s="16" t="s">
        <v>5</v>
      </c>
      <c r="U14" s="16" t="s">
        <v>5</v>
      </c>
      <c r="V14" s="16" t="s">
        <v>5</v>
      </c>
      <c r="W14" s="16" t="s">
        <v>5</v>
      </c>
      <c r="X14" s="16" t="s">
        <v>5</v>
      </c>
      <c r="Y14" s="16" t="s">
        <v>5</v>
      </c>
      <c r="Z14" s="16" t="s">
        <v>5</v>
      </c>
      <c r="AA14" s="16" t="s">
        <v>5</v>
      </c>
      <c r="AB14" s="16" t="s">
        <v>5</v>
      </c>
      <c r="AC14" s="16" t="s">
        <v>5</v>
      </c>
      <c r="AD14" s="16" t="s">
        <v>5</v>
      </c>
      <c r="AE14" s="16" t="s">
        <v>5</v>
      </c>
      <c r="AF14" s="16" t="s">
        <v>5</v>
      </c>
      <c r="AG14" s="16" t="s">
        <v>5</v>
      </c>
      <c r="AH14" s="16" t="s">
        <v>5</v>
      </c>
      <c r="AI14" s="16" t="s">
        <v>5</v>
      </c>
      <c r="AJ14" s="16" t="s">
        <v>5</v>
      </c>
      <c r="AK14" s="16" t="s">
        <v>5</v>
      </c>
      <c r="AL14" s="16" t="s">
        <v>5</v>
      </c>
      <c r="AM14" s="11" t="s">
        <v>5</v>
      </c>
    </row>
    <row r="15" spans="2:39" s="11" customFormat="1" ht="15.75">
      <c r="B15" s="11" t="s">
        <v>8</v>
      </c>
      <c r="C15" s="144">
        <v>5</v>
      </c>
      <c r="D15" s="144">
        <v>5</v>
      </c>
      <c r="E15" s="144">
        <v>5</v>
      </c>
      <c r="F15" s="16" t="s">
        <v>5</v>
      </c>
      <c r="G15" s="16" t="s">
        <v>5</v>
      </c>
      <c r="H15" s="16" t="s">
        <v>5</v>
      </c>
      <c r="I15" s="16" t="s">
        <v>5</v>
      </c>
      <c r="J15" s="16" t="s">
        <v>5</v>
      </c>
      <c r="K15" s="16" t="s">
        <v>5</v>
      </c>
      <c r="L15" s="16" t="s">
        <v>5</v>
      </c>
      <c r="M15" s="16" t="s">
        <v>5</v>
      </c>
      <c r="N15" s="16" t="s">
        <v>5</v>
      </c>
      <c r="O15" s="16" t="s">
        <v>5</v>
      </c>
      <c r="P15" s="16" t="s">
        <v>5</v>
      </c>
      <c r="Q15" s="16" t="s">
        <v>5</v>
      </c>
      <c r="R15" s="16" t="s">
        <v>5</v>
      </c>
      <c r="S15" s="16" t="s">
        <v>5</v>
      </c>
      <c r="T15" s="16" t="s">
        <v>5</v>
      </c>
      <c r="U15" s="16" t="s">
        <v>5</v>
      </c>
      <c r="V15" s="16" t="s">
        <v>5</v>
      </c>
      <c r="W15" s="16" t="s">
        <v>5</v>
      </c>
      <c r="X15" s="16" t="s">
        <v>5</v>
      </c>
      <c r="Y15" s="16" t="s">
        <v>5</v>
      </c>
      <c r="Z15" s="16" t="s">
        <v>5</v>
      </c>
      <c r="AA15" s="16" t="s">
        <v>5</v>
      </c>
      <c r="AB15" s="16" t="s">
        <v>5</v>
      </c>
      <c r="AC15" s="16" t="s">
        <v>5</v>
      </c>
      <c r="AD15" s="16" t="s">
        <v>5</v>
      </c>
      <c r="AE15" s="16" t="s">
        <v>5</v>
      </c>
      <c r="AF15" s="16" t="s">
        <v>5</v>
      </c>
      <c r="AG15" s="16" t="s">
        <v>5</v>
      </c>
      <c r="AH15" s="16" t="s">
        <v>5</v>
      </c>
      <c r="AI15" s="16" t="s">
        <v>5</v>
      </c>
      <c r="AJ15" s="16" t="s">
        <v>5</v>
      </c>
      <c r="AK15" s="16" t="s">
        <v>5</v>
      </c>
      <c r="AL15" s="16" t="s">
        <v>5</v>
      </c>
      <c r="AM15" s="11" t="s">
        <v>5</v>
      </c>
    </row>
    <row r="16" spans="2:39" s="11" customFormat="1" ht="15.75">
      <c r="B16" s="11" t="s">
        <v>9</v>
      </c>
      <c r="C16" s="145" t="s">
        <v>5</v>
      </c>
      <c r="D16" s="145" t="s">
        <v>5</v>
      </c>
      <c r="E16" s="145" t="s">
        <v>5</v>
      </c>
      <c r="F16" s="17">
        <v>12</v>
      </c>
      <c r="G16" s="17">
        <v>36</v>
      </c>
      <c r="H16" s="17">
        <v>18</v>
      </c>
      <c r="I16" s="17">
        <v>36</v>
      </c>
      <c r="J16" s="17">
        <v>36</v>
      </c>
      <c r="K16" s="17">
        <v>48</v>
      </c>
      <c r="L16" s="17">
        <v>54</v>
      </c>
      <c r="M16" s="17">
        <v>24</v>
      </c>
      <c r="N16" s="17">
        <v>24</v>
      </c>
      <c r="O16" s="17">
        <v>24</v>
      </c>
      <c r="P16" s="17">
        <v>24</v>
      </c>
      <c r="Q16" s="17">
        <v>18</v>
      </c>
      <c r="R16" s="17">
        <v>0</v>
      </c>
      <c r="S16" s="17">
        <v>36</v>
      </c>
      <c r="T16" s="17">
        <v>0</v>
      </c>
      <c r="U16" s="17">
        <v>36</v>
      </c>
      <c r="V16" s="17">
        <v>0</v>
      </c>
      <c r="W16" s="17">
        <v>36</v>
      </c>
      <c r="X16" s="17">
        <v>0</v>
      </c>
      <c r="Y16" s="17">
        <v>36</v>
      </c>
      <c r="Z16" s="17">
        <v>0</v>
      </c>
      <c r="AA16" s="17">
        <v>36</v>
      </c>
      <c r="AB16" s="17">
        <v>0</v>
      </c>
      <c r="AC16" s="17">
        <v>54</v>
      </c>
      <c r="AD16" s="17" t="s">
        <v>5</v>
      </c>
      <c r="AE16" s="17" t="s">
        <v>5</v>
      </c>
      <c r="AF16" s="17" t="s">
        <v>5</v>
      </c>
      <c r="AG16" s="17" t="s">
        <v>5</v>
      </c>
      <c r="AH16" s="17" t="s">
        <v>5</v>
      </c>
      <c r="AI16" s="17" t="s">
        <v>5</v>
      </c>
      <c r="AJ16" s="17" t="s">
        <v>5</v>
      </c>
      <c r="AK16" s="17" t="s">
        <v>5</v>
      </c>
      <c r="AL16" s="17" t="s">
        <v>5</v>
      </c>
      <c r="AM16" s="11" t="s">
        <v>5</v>
      </c>
    </row>
    <row r="17" spans="2:39" s="11" customFormat="1" ht="15.75">
      <c r="B17" s="11" t="s">
        <v>10</v>
      </c>
      <c r="C17" s="146">
        <v>0.6</v>
      </c>
      <c r="D17" s="146">
        <v>0.6</v>
      </c>
      <c r="E17" s="146">
        <v>0.6</v>
      </c>
      <c r="F17" s="18" t="s">
        <v>5</v>
      </c>
      <c r="G17" s="18">
        <v>0.8</v>
      </c>
      <c r="H17" s="18" t="s">
        <v>5</v>
      </c>
      <c r="I17" s="18">
        <v>0.8</v>
      </c>
      <c r="J17" s="18">
        <v>0.8</v>
      </c>
      <c r="K17" s="18" t="s">
        <v>5</v>
      </c>
      <c r="L17" s="18" t="s">
        <v>5</v>
      </c>
      <c r="M17" s="18">
        <v>0.4</v>
      </c>
      <c r="N17" s="18">
        <v>0.4</v>
      </c>
      <c r="O17" s="18">
        <v>0.8</v>
      </c>
      <c r="P17" s="18">
        <v>0.8</v>
      </c>
      <c r="Q17" s="18">
        <v>0.7</v>
      </c>
      <c r="R17" s="18">
        <v>0.7</v>
      </c>
      <c r="S17" s="18">
        <v>1</v>
      </c>
      <c r="T17" s="18">
        <v>1</v>
      </c>
      <c r="U17" s="18">
        <v>1</v>
      </c>
      <c r="V17" s="18">
        <v>1</v>
      </c>
      <c r="W17" s="18">
        <v>1</v>
      </c>
      <c r="X17" s="18">
        <v>1</v>
      </c>
      <c r="Y17" s="18">
        <v>2</v>
      </c>
      <c r="Z17" s="18">
        <v>2</v>
      </c>
      <c r="AA17" s="18">
        <v>2</v>
      </c>
      <c r="AB17" s="18">
        <v>2</v>
      </c>
      <c r="AC17" s="18">
        <v>3</v>
      </c>
      <c r="AD17" s="18" t="s">
        <v>5</v>
      </c>
      <c r="AE17" s="18" t="s">
        <v>5</v>
      </c>
      <c r="AF17" s="18">
        <v>1</v>
      </c>
      <c r="AG17" s="18">
        <v>2</v>
      </c>
      <c r="AH17" s="18">
        <v>3</v>
      </c>
      <c r="AI17" s="18">
        <v>5</v>
      </c>
      <c r="AJ17" s="18" t="s">
        <v>5</v>
      </c>
      <c r="AK17" s="18" t="s">
        <v>5</v>
      </c>
      <c r="AL17" s="18" t="s">
        <v>5</v>
      </c>
      <c r="AM17" s="11">
        <v>8</v>
      </c>
    </row>
    <row r="18" spans="2:39" s="11" customFormat="1" ht="15.75">
      <c r="B18" s="11" t="s">
        <v>11</v>
      </c>
      <c r="C18" s="147">
        <v>32</v>
      </c>
      <c r="D18" s="147">
        <v>32</v>
      </c>
      <c r="E18" s="147">
        <v>32</v>
      </c>
      <c r="F18" s="19">
        <v>35</v>
      </c>
      <c r="G18" s="19">
        <v>45</v>
      </c>
      <c r="H18" s="19">
        <v>40</v>
      </c>
      <c r="I18" s="19">
        <v>45</v>
      </c>
      <c r="J18" s="19">
        <v>60</v>
      </c>
      <c r="K18" s="19">
        <v>60</v>
      </c>
      <c r="L18" s="19">
        <v>90</v>
      </c>
      <c r="M18" s="19">
        <v>32</v>
      </c>
      <c r="N18" s="19">
        <v>32</v>
      </c>
      <c r="O18" s="19">
        <v>45</v>
      </c>
      <c r="P18" s="19">
        <v>45</v>
      </c>
      <c r="Q18" s="19">
        <v>45</v>
      </c>
      <c r="R18" s="19">
        <v>45</v>
      </c>
      <c r="S18" s="19">
        <v>60</v>
      </c>
      <c r="T18" s="19">
        <v>60</v>
      </c>
      <c r="U18" s="19">
        <v>60</v>
      </c>
      <c r="V18" s="19">
        <v>60</v>
      </c>
      <c r="W18" s="19">
        <v>60</v>
      </c>
      <c r="X18" s="19">
        <v>60</v>
      </c>
      <c r="Y18" s="19">
        <v>60</v>
      </c>
      <c r="Z18" s="19">
        <v>60</v>
      </c>
      <c r="AA18" s="19">
        <v>60</v>
      </c>
      <c r="AB18" s="19">
        <v>60</v>
      </c>
      <c r="AC18" s="19">
        <v>80</v>
      </c>
      <c r="AD18" s="19">
        <v>60</v>
      </c>
      <c r="AE18" s="19">
        <v>60</v>
      </c>
      <c r="AF18" s="19">
        <v>40</v>
      </c>
      <c r="AG18" s="19">
        <v>60</v>
      </c>
      <c r="AH18" s="19">
        <v>80</v>
      </c>
      <c r="AI18" s="20">
        <v>120</v>
      </c>
      <c r="AJ18" s="20">
        <v>80</v>
      </c>
      <c r="AK18" s="20">
        <v>120</v>
      </c>
      <c r="AL18" s="20">
        <v>180</v>
      </c>
      <c r="AM18" s="20">
        <v>2000</v>
      </c>
    </row>
    <row r="19" spans="1:5" s="8" customFormat="1" ht="15.75">
      <c r="A19" s="15" t="s">
        <v>187</v>
      </c>
      <c r="C19" s="143"/>
      <c r="D19" s="143"/>
      <c r="E19" s="143"/>
    </row>
    <row r="20" spans="2:39" s="21" customFormat="1" ht="15.75">
      <c r="B20" s="21" t="str">
        <f>B$14</f>
        <v>Max Units in Main Building</v>
      </c>
      <c r="C20" s="148">
        <v>8</v>
      </c>
      <c r="D20" s="148">
        <v>8</v>
      </c>
      <c r="E20" s="148">
        <v>8</v>
      </c>
      <c r="F20" s="22" t="s">
        <v>5</v>
      </c>
      <c r="G20" s="22" t="s">
        <v>5</v>
      </c>
      <c r="H20" s="22" t="s">
        <v>5</v>
      </c>
      <c r="I20" s="22" t="s">
        <v>5</v>
      </c>
      <c r="J20" s="22" t="s">
        <v>5</v>
      </c>
      <c r="K20" s="22" t="s">
        <v>5</v>
      </c>
      <c r="L20" s="22" t="s">
        <v>5</v>
      </c>
      <c r="M20" s="22" t="s">
        <v>5</v>
      </c>
      <c r="N20" s="22" t="s">
        <v>5</v>
      </c>
      <c r="O20" s="22" t="s">
        <v>5</v>
      </c>
      <c r="P20" s="22" t="s">
        <v>5</v>
      </c>
      <c r="Q20" s="22" t="s">
        <v>5</v>
      </c>
      <c r="R20" s="22" t="s">
        <v>5</v>
      </c>
      <c r="S20" s="22" t="s">
        <v>5</v>
      </c>
      <c r="T20" s="22" t="s">
        <v>5</v>
      </c>
      <c r="U20" s="22" t="s">
        <v>5</v>
      </c>
      <c r="V20" s="22" t="s">
        <v>5</v>
      </c>
      <c r="W20" s="22" t="s">
        <v>5</v>
      </c>
      <c r="X20" s="22" t="s">
        <v>5</v>
      </c>
      <c r="Y20" s="22" t="s">
        <v>5</v>
      </c>
      <c r="Z20" s="22" t="s">
        <v>5</v>
      </c>
      <c r="AA20" s="22" t="s">
        <v>5</v>
      </c>
      <c r="AB20" s="22" t="s">
        <v>5</v>
      </c>
      <c r="AC20" s="22" t="s">
        <v>5</v>
      </c>
      <c r="AD20" s="22" t="s">
        <v>5</v>
      </c>
      <c r="AE20" s="22" t="s">
        <v>5</v>
      </c>
      <c r="AF20" s="22" t="s">
        <v>5</v>
      </c>
      <c r="AG20" s="22" t="s">
        <v>5</v>
      </c>
      <c r="AH20" s="22" t="s">
        <v>5</v>
      </c>
      <c r="AI20" s="22" t="s">
        <v>5</v>
      </c>
      <c r="AJ20" s="22" t="s">
        <v>5</v>
      </c>
      <c r="AK20" s="22" t="s">
        <v>5</v>
      </c>
      <c r="AL20" s="22" t="s">
        <v>5</v>
      </c>
      <c r="AM20" s="21" t="s">
        <v>5</v>
      </c>
    </row>
    <row r="21" spans="2:39" s="21" customFormat="1" ht="15.75">
      <c r="B21" s="21" t="str">
        <f>B$15</f>
        <v>Max Units per Site (Incl. ADU)</v>
      </c>
      <c r="C21" s="148">
        <v>9</v>
      </c>
      <c r="D21" s="148">
        <v>9</v>
      </c>
      <c r="E21" s="148">
        <v>9</v>
      </c>
      <c r="F21" s="22" t="s">
        <v>5</v>
      </c>
      <c r="G21" s="22" t="s">
        <v>5</v>
      </c>
      <c r="H21" s="22" t="s">
        <v>5</v>
      </c>
      <c r="I21" s="22" t="s">
        <v>5</v>
      </c>
      <c r="J21" s="22" t="s">
        <v>5</v>
      </c>
      <c r="K21" s="22" t="s">
        <v>5</v>
      </c>
      <c r="L21" s="22" t="s">
        <v>5</v>
      </c>
      <c r="M21" s="22" t="s">
        <v>5</v>
      </c>
      <c r="N21" s="22" t="s">
        <v>5</v>
      </c>
      <c r="O21" s="22" t="s">
        <v>5</v>
      </c>
      <c r="P21" s="22" t="s">
        <v>5</v>
      </c>
      <c r="Q21" s="22" t="s">
        <v>5</v>
      </c>
      <c r="R21" s="22" t="s">
        <v>5</v>
      </c>
      <c r="S21" s="22" t="s">
        <v>5</v>
      </c>
      <c r="T21" s="22" t="s">
        <v>5</v>
      </c>
      <c r="U21" s="22" t="s">
        <v>5</v>
      </c>
      <c r="V21" s="22" t="s">
        <v>5</v>
      </c>
      <c r="W21" s="22" t="s">
        <v>5</v>
      </c>
      <c r="X21" s="22" t="s">
        <v>5</v>
      </c>
      <c r="Y21" s="22" t="s">
        <v>5</v>
      </c>
      <c r="Z21" s="22" t="s">
        <v>5</v>
      </c>
      <c r="AA21" s="22" t="s">
        <v>5</v>
      </c>
      <c r="AB21" s="22" t="s">
        <v>5</v>
      </c>
      <c r="AC21" s="22" t="s">
        <v>5</v>
      </c>
      <c r="AD21" s="22" t="s">
        <v>5</v>
      </c>
      <c r="AE21" s="22" t="s">
        <v>5</v>
      </c>
      <c r="AF21" s="22" t="s">
        <v>5</v>
      </c>
      <c r="AG21" s="22" t="s">
        <v>5</v>
      </c>
      <c r="AH21" s="22" t="s">
        <v>5</v>
      </c>
      <c r="AI21" s="22" t="s">
        <v>5</v>
      </c>
      <c r="AJ21" s="22" t="s">
        <v>5</v>
      </c>
      <c r="AK21" s="22" t="s">
        <v>5</v>
      </c>
      <c r="AL21" s="22" t="s">
        <v>5</v>
      </c>
      <c r="AM21" s="21" t="s">
        <v>5</v>
      </c>
    </row>
    <row r="22" spans="2:39" s="21" customFormat="1" ht="15.75">
      <c r="B22" s="21" t="str">
        <f>B$16</f>
        <v>Max DUA</v>
      </c>
      <c r="C22" s="149" t="s">
        <v>5</v>
      </c>
      <c r="D22" s="149" t="s">
        <v>5</v>
      </c>
      <c r="E22" s="149" t="s">
        <v>5</v>
      </c>
      <c r="F22" s="23">
        <v>30</v>
      </c>
      <c r="G22" s="23">
        <v>64</v>
      </c>
      <c r="H22" s="23">
        <v>46</v>
      </c>
      <c r="I22" s="23">
        <v>72</v>
      </c>
      <c r="J22" s="23">
        <v>76</v>
      </c>
      <c r="K22" s="23">
        <v>144</v>
      </c>
      <c r="L22" s="23">
        <v>150</v>
      </c>
      <c r="M22" s="23">
        <v>36</v>
      </c>
      <c r="N22" s="23">
        <v>36</v>
      </c>
      <c r="O22" s="23">
        <v>36</v>
      </c>
      <c r="P22" s="22">
        <v>36</v>
      </c>
      <c r="Q22" s="22">
        <v>36</v>
      </c>
      <c r="R22" s="22">
        <v>36</v>
      </c>
      <c r="S22" s="22">
        <v>54</v>
      </c>
      <c r="T22" s="22">
        <v>54</v>
      </c>
      <c r="U22" s="22">
        <v>54</v>
      </c>
      <c r="V22" s="22">
        <v>54</v>
      </c>
      <c r="W22" s="23">
        <v>54</v>
      </c>
      <c r="X22" s="23">
        <v>54</v>
      </c>
      <c r="Y22" s="23">
        <v>72</v>
      </c>
      <c r="Z22" s="23">
        <v>72</v>
      </c>
      <c r="AA22" s="23">
        <v>72</v>
      </c>
      <c r="AB22" s="23">
        <v>72</v>
      </c>
      <c r="AC22" s="23">
        <v>72</v>
      </c>
      <c r="AD22" s="23" t="s">
        <v>5</v>
      </c>
      <c r="AE22" s="23" t="s">
        <v>5</v>
      </c>
      <c r="AF22" s="23" t="s">
        <v>5</v>
      </c>
      <c r="AG22" s="23" t="s">
        <v>5</v>
      </c>
      <c r="AH22" s="23" t="s">
        <v>5</v>
      </c>
      <c r="AI22" s="23" t="s">
        <v>5</v>
      </c>
      <c r="AJ22" s="23" t="s">
        <v>5</v>
      </c>
      <c r="AK22" s="23" t="s">
        <v>5</v>
      </c>
      <c r="AL22" s="23" t="s">
        <v>5</v>
      </c>
      <c r="AM22" s="21" t="s">
        <v>5</v>
      </c>
    </row>
    <row r="23" spans="2:39" s="21" customFormat="1" ht="15.75">
      <c r="B23" s="21" t="str">
        <f>B$17</f>
        <v>Max FAR</v>
      </c>
      <c r="C23" s="150">
        <v>0.8</v>
      </c>
      <c r="D23" s="150">
        <v>0.8</v>
      </c>
      <c r="E23" s="150">
        <v>0.8</v>
      </c>
      <c r="F23" s="21" t="s">
        <v>5</v>
      </c>
      <c r="G23" s="21">
        <v>2</v>
      </c>
      <c r="H23" s="21" t="s">
        <v>5</v>
      </c>
      <c r="I23" s="21">
        <v>2</v>
      </c>
      <c r="J23" s="21">
        <v>2</v>
      </c>
      <c r="K23" s="21" t="s">
        <v>5</v>
      </c>
      <c r="L23" s="21" t="s">
        <v>5</v>
      </c>
      <c r="M23" s="21">
        <v>1</v>
      </c>
      <c r="N23" s="21">
        <v>1</v>
      </c>
      <c r="O23" s="21">
        <v>1.6</v>
      </c>
      <c r="P23" s="21">
        <v>1.6</v>
      </c>
      <c r="Q23" s="21">
        <v>1.5</v>
      </c>
      <c r="R23" s="21">
        <v>1.5</v>
      </c>
      <c r="S23" s="21">
        <v>2</v>
      </c>
      <c r="T23" s="21">
        <v>2</v>
      </c>
      <c r="U23" s="21">
        <v>3</v>
      </c>
      <c r="V23" s="21">
        <v>3</v>
      </c>
      <c r="W23" s="21">
        <v>3</v>
      </c>
      <c r="X23" s="21">
        <v>3</v>
      </c>
      <c r="Y23" s="21">
        <v>5</v>
      </c>
      <c r="Z23" s="21">
        <v>5</v>
      </c>
      <c r="AA23" s="21">
        <v>5</v>
      </c>
      <c r="AB23" s="21">
        <v>5</v>
      </c>
      <c r="AC23" s="21">
        <v>5</v>
      </c>
      <c r="AD23" s="21" t="s">
        <v>5</v>
      </c>
      <c r="AE23" s="21" t="s">
        <v>5</v>
      </c>
      <c r="AF23" s="21">
        <v>2</v>
      </c>
      <c r="AG23" s="21">
        <v>4</v>
      </c>
      <c r="AH23" s="21">
        <v>6</v>
      </c>
      <c r="AI23" s="21">
        <v>8</v>
      </c>
      <c r="AJ23" s="21" t="s">
        <v>5</v>
      </c>
      <c r="AK23" s="21" t="s">
        <v>5</v>
      </c>
      <c r="AL23" s="21" t="s">
        <v>5</v>
      </c>
      <c r="AM23" s="21">
        <v>20</v>
      </c>
    </row>
    <row r="24" spans="2:39" s="21" customFormat="1" ht="15.75">
      <c r="B24" s="21" t="str">
        <f>B$18</f>
        <v>Max Height (ft)</v>
      </c>
      <c r="C24" s="151">
        <v>32</v>
      </c>
      <c r="D24" s="151">
        <v>32</v>
      </c>
      <c r="E24" s="151">
        <v>32</v>
      </c>
      <c r="F24" s="24">
        <v>35</v>
      </c>
      <c r="G24" s="24">
        <v>45</v>
      </c>
      <c r="H24" s="24">
        <v>40</v>
      </c>
      <c r="I24" s="24">
        <v>60</v>
      </c>
      <c r="J24" s="24">
        <v>60</v>
      </c>
      <c r="K24" s="24">
        <v>80</v>
      </c>
      <c r="L24" s="24">
        <v>90</v>
      </c>
      <c r="M24" s="24">
        <v>32</v>
      </c>
      <c r="N24" s="24">
        <v>32</v>
      </c>
      <c r="O24" s="24">
        <v>45</v>
      </c>
      <c r="P24" s="24">
        <v>45</v>
      </c>
      <c r="Q24" s="24">
        <v>45</v>
      </c>
      <c r="R24" s="24">
        <v>45</v>
      </c>
      <c r="S24" s="24">
        <v>60</v>
      </c>
      <c r="T24" s="24">
        <v>60</v>
      </c>
      <c r="U24" s="24">
        <v>60</v>
      </c>
      <c r="V24" s="24">
        <v>60</v>
      </c>
      <c r="W24" s="24">
        <v>60</v>
      </c>
      <c r="X24" s="24">
        <v>60</v>
      </c>
      <c r="Y24" s="24">
        <v>75</v>
      </c>
      <c r="Z24" s="24">
        <v>75</v>
      </c>
      <c r="AA24" s="24">
        <v>75</v>
      </c>
      <c r="AB24" s="24">
        <v>75</v>
      </c>
      <c r="AC24" s="24">
        <v>80</v>
      </c>
      <c r="AD24" s="24">
        <v>85</v>
      </c>
      <c r="AE24" s="24">
        <v>85</v>
      </c>
      <c r="AF24" s="24">
        <v>65</v>
      </c>
      <c r="AG24" s="24">
        <v>85</v>
      </c>
      <c r="AH24" s="24">
        <v>150</v>
      </c>
      <c r="AI24" s="24">
        <v>200</v>
      </c>
      <c r="AJ24" s="24">
        <v>150</v>
      </c>
      <c r="AK24" s="24">
        <v>200</v>
      </c>
      <c r="AL24" s="24">
        <v>240</v>
      </c>
      <c r="AM24" s="24">
        <v>2000</v>
      </c>
    </row>
    <row r="25" spans="2:39" s="21" customFormat="1" ht="15.75">
      <c r="B25" s="21" t="s">
        <v>12</v>
      </c>
      <c r="C25" s="166">
        <f>Assumptions!$C$30</f>
        <v>0.8</v>
      </c>
      <c r="D25" s="166">
        <f>Assumptions!$C$30</f>
        <v>0.8</v>
      </c>
      <c r="E25" s="166">
        <f>Assumptions!$C$30</f>
        <v>0.8</v>
      </c>
      <c r="F25" s="166">
        <f>Assumptions!$C$30</f>
        <v>0.8</v>
      </c>
      <c r="G25" s="166">
        <f>Assumptions!$C$30</f>
        <v>0.8</v>
      </c>
      <c r="H25" s="166">
        <f>Assumptions!$C$30</f>
        <v>0.8</v>
      </c>
      <c r="I25" s="166">
        <f>Assumptions!$C$30</f>
        <v>0.8</v>
      </c>
      <c r="J25" s="166">
        <f>Assumptions!$C$30</f>
        <v>0.8</v>
      </c>
      <c r="K25" s="166">
        <f>Assumptions!$C$30</f>
        <v>0.8</v>
      </c>
      <c r="L25" s="166">
        <f>Assumptions!$C$30</f>
        <v>0.8</v>
      </c>
      <c r="M25" s="166">
        <f>Assumptions!$C$30</f>
        <v>0.8</v>
      </c>
      <c r="N25" s="166">
        <f>Assumptions!$C$30</f>
        <v>0.8</v>
      </c>
      <c r="O25" s="166">
        <f>Assumptions!$C$30</f>
        <v>0.8</v>
      </c>
      <c r="P25" s="166">
        <f>Assumptions!$C$30</f>
        <v>0.8</v>
      </c>
      <c r="Q25" s="166">
        <f>Assumptions!$C$30</f>
        <v>0.8</v>
      </c>
      <c r="R25" s="166">
        <f>Assumptions!$C$30</f>
        <v>0.8</v>
      </c>
      <c r="S25" s="166">
        <f>Assumptions!$C$30</f>
        <v>0.8</v>
      </c>
      <c r="T25" s="166">
        <f>Assumptions!$C$30</f>
        <v>0.8</v>
      </c>
      <c r="U25" s="166">
        <f>Assumptions!$C$30</f>
        <v>0.8</v>
      </c>
      <c r="V25" s="166">
        <f>Assumptions!$C$30</f>
        <v>0.8</v>
      </c>
      <c r="W25" s="166">
        <f>Assumptions!$C$30</f>
        <v>0.8</v>
      </c>
      <c r="X25" s="166">
        <f>Assumptions!$C$30</f>
        <v>0.8</v>
      </c>
      <c r="Y25" s="166">
        <f>Assumptions!$C$30</f>
        <v>0.8</v>
      </c>
      <c r="Z25" s="166">
        <f>Assumptions!$C$30</f>
        <v>0.8</v>
      </c>
      <c r="AA25" s="166">
        <f>Assumptions!$C$30</f>
        <v>0.8</v>
      </c>
      <c r="AB25" s="166">
        <f>Assumptions!$C$30</f>
        <v>0.8</v>
      </c>
      <c r="AC25" s="166">
        <f>Assumptions!$C$30</f>
        <v>0.8</v>
      </c>
      <c r="AD25" s="166">
        <f>Assumptions!$C$30</f>
        <v>0.8</v>
      </c>
      <c r="AE25" s="166">
        <f>Assumptions!$C$30</f>
        <v>0.8</v>
      </c>
      <c r="AF25" s="166">
        <f>Assumptions!$C$30</f>
        <v>0.8</v>
      </c>
      <c r="AG25" s="166">
        <f>Assumptions!$C$30</f>
        <v>0.8</v>
      </c>
      <c r="AH25" s="166">
        <f>Assumptions!$C$30</f>
        <v>0.8</v>
      </c>
      <c r="AI25" s="166">
        <f>Assumptions!$C$30</f>
        <v>0.8</v>
      </c>
      <c r="AJ25" s="166">
        <f>Assumptions!$C$30</f>
        <v>0.8</v>
      </c>
      <c r="AK25" s="166">
        <f>Assumptions!$C$30</f>
        <v>0.8</v>
      </c>
      <c r="AL25" s="166">
        <f>Assumptions!$C$30</f>
        <v>0.8</v>
      </c>
      <c r="AM25" s="166">
        <f>Assumptions!$C$30</f>
        <v>0.8</v>
      </c>
    </row>
    <row r="26" spans="3:39" s="21" customFormat="1" ht="15.75">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row>
  </sheetData>
  <sheetProtection/>
  <mergeCells count="1">
    <mergeCell ref="A2:E2"/>
  </mergeCells>
  <printOptions/>
  <pageMargins left="0.75" right="0.75" top="1" bottom="1" header="0.5" footer="0.5"/>
  <pageSetup orientation="portrait" scale="55"/>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T160"/>
  <sheetViews>
    <sheetView zoomScalePageLayoutView="0" workbookViewId="0" topLeftCell="A1">
      <selection activeCell="B10" sqref="B10"/>
    </sheetView>
  </sheetViews>
  <sheetFormatPr defaultColWidth="10.875" defaultRowHeight="15.75"/>
  <cols>
    <col min="1" max="1" width="2.875" style="28" customWidth="1"/>
    <col min="2" max="2" width="63.375" style="28" bestFit="1" customWidth="1"/>
    <col min="3" max="3" width="10.375" style="28" bestFit="1" customWidth="1"/>
    <col min="4" max="4" width="3.125" style="28" customWidth="1"/>
    <col min="5" max="5" width="74.50390625" style="53" bestFit="1" customWidth="1"/>
    <col min="6" max="6" width="15.00390625" style="28" bestFit="1" customWidth="1"/>
    <col min="7" max="7" width="17.375" style="28" customWidth="1"/>
    <col min="8" max="8" width="14.875" style="28" customWidth="1"/>
    <col min="9" max="9" width="13.50390625" style="28" bestFit="1" customWidth="1"/>
    <col min="10" max="10" width="16.125" style="28" bestFit="1" customWidth="1"/>
    <col min="11" max="11" width="11.375" style="28" bestFit="1" customWidth="1"/>
    <col min="12" max="12" width="21.875" style="28" customWidth="1"/>
    <col min="13" max="13" width="16.00390625" style="28" bestFit="1" customWidth="1"/>
    <col min="14" max="16384" width="10.875" style="28" customWidth="1"/>
  </cols>
  <sheetData>
    <row r="1" s="140" customFormat="1" ht="26.25">
      <c r="A1" s="139" t="str">
        <f ca="1">MID(CELL("filename",A1),FIND("]",CELL("filename",A1))+1,255)</f>
        <v>Assumptions</v>
      </c>
    </row>
    <row r="2" spans="1:46" s="2" customFormat="1" ht="30" customHeight="1">
      <c r="A2" s="310" t="str">
        <f>Overview!C15</f>
        <v>This tab contains the assumptions that impact the affordability requirements on the 'Affordability' tab and the feasibility of development in the 'Pro Forma' tab. Any changes to these values will flow through the calculations on the 'Pro Forma' tab, influence the modeled development feasibility, and potentially alter the  affordability policy results on 'Policy' tab.</v>
      </c>
      <c r="B2" s="310"/>
      <c r="C2" s="310"/>
      <c r="D2" s="310"/>
      <c r="E2" s="310"/>
      <c r="F2" s="5"/>
      <c r="G2" s="5"/>
      <c r="H2" s="5"/>
      <c r="I2" s="5"/>
      <c r="J2" s="5"/>
      <c r="K2" s="3"/>
      <c r="L2" s="5"/>
      <c r="M2" s="3"/>
      <c r="N2" s="3"/>
      <c r="O2" s="3"/>
      <c r="P2" s="3"/>
      <c r="Q2" s="3"/>
      <c r="R2" s="3"/>
      <c r="S2" s="3"/>
      <c r="T2" s="3"/>
      <c r="U2" s="3"/>
      <c r="V2" s="3"/>
      <c r="AL2" s="3"/>
      <c r="AM2" s="3"/>
      <c r="AN2" s="3"/>
      <c r="AO2" s="3"/>
      <c r="AP2" s="3"/>
      <c r="AQ2" s="3"/>
      <c r="AR2" s="3"/>
      <c r="AS2" s="3"/>
      <c r="AT2" s="3"/>
    </row>
    <row r="3" spans="1:46" s="10" customFormat="1" ht="15.75">
      <c r="A3" s="7"/>
      <c r="B3" s="8"/>
      <c r="C3" s="8"/>
      <c r="D3" s="8"/>
      <c r="E3" s="52"/>
      <c r="F3" s="8"/>
      <c r="G3" s="8"/>
      <c r="H3" s="8"/>
      <c r="I3" s="8"/>
      <c r="J3" s="8"/>
      <c r="K3" s="9"/>
      <c r="L3" s="8"/>
      <c r="M3" s="9"/>
      <c r="N3" s="9"/>
      <c r="O3" s="9"/>
      <c r="P3" s="9"/>
      <c r="Q3" s="9"/>
      <c r="R3" s="9"/>
      <c r="S3" s="9"/>
      <c r="T3" s="9"/>
      <c r="U3" s="9"/>
      <c r="V3" s="9"/>
      <c r="AA3" s="9"/>
      <c r="AB3" s="9"/>
      <c r="AC3" s="9"/>
      <c r="AD3" s="9"/>
      <c r="AF3" s="9"/>
      <c r="AG3" s="9"/>
      <c r="AH3" s="9"/>
      <c r="AI3" s="9"/>
      <c r="AJ3" s="9"/>
      <c r="AK3" s="9"/>
      <c r="AL3" s="9"/>
      <c r="AM3" s="9"/>
      <c r="AN3" s="9"/>
      <c r="AO3" s="9"/>
      <c r="AP3" s="9"/>
      <c r="AQ3" s="9"/>
      <c r="AR3" s="9"/>
      <c r="AS3" s="9"/>
      <c r="AT3" s="9"/>
    </row>
    <row r="4" spans="1:5" ht="15.75">
      <c r="A4" s="55"/>
      <c r="C4" s="55" t="s">
        <v>14</v>
      </c>
      <c r="D4" s="55"/>
      <c r="E4" s="54" t="s">
        <v>84</v>
      </c>
    </row>
    <row r="5" spans="2:5" ht="15.75">
      <c r="B5" s="40" t="s">
        <v>16</v>
      </c>
      <c r="C5" s="41"/>
      <c r="D5" s="41"/>
      <c r="E5" s="121"/>
    </row>
    <row r="6" spans="2:5" ht="15.75">
      <c r="B6" s="27" t="s">
        <v>15</v>
      </c>
      <c r="C6" s="30">
        <v>0.06</v>
      </c>
      <c r="D6" s="30"/>
      <c r="E6" s="121" t="s">
        <v>89</v>
      </c>
    </row>
    <row r="7" spans="2:5" ht="15.75">
      <c r="B7" s="28" t="s">
        <v>17</v>
      </c>
      <c r="C7" s="182">
        <v>2.75</v>
      </c>
      <c r="D7" s="33"/>
      <c r="E7" s="121" t="s">
        <v>417</v>
      </c>
    </row>
    <row r="8" spans="2:5" ht="15.75">
      <c r="B8" s="28" t="s">
        <v>18</v>
      </c>
      <c r="C8" s="183">
        <v>450</v>
      </c>
      <c r="D8" s="33"/>
      <c r="E8" s="121" t="s">
        <v>416</v>
      </c>
    </row>
    <row r="9" spans="2:5" ht="15.75">
      <c r="B9" s="27" t="s">
        <v>25</v>
      </c>
      <c r="C9" s="182">
        <v>0.75</v>
      </c>
      <c r="D9" s="42"/>
      <c r="E9" s="121" t="s">
        <v>92</v>
      </c>
    </row>
    <row r="10" spans="2:5" ht="15.75">
      <c r="B10" s="27" t="s">
        <v>19</v>
      </c>
      <c r="C10" s="30">
        <v>0.0154</v>
      </c>
      <c r="D10" s="30"/>
      <c r="E10" s="121" t="s">
        <v>92</v>
      </c>
    </row>
    <row r="11" spans="2:5" ht="15.75">
      <c r="B11" s="28" t="s">
        <v>20</v>
      </c>
      <c r="C11" s="183">
        <v>35</v>
      </c>
      <c r="D11" s="33"/>
      <c r="E11" s="121" t="s">
        <v>92</v>
      </c>
    </row>
    <row r="12" spans="2:5" ht="15.75">
      <c r="B12" s="27" t="s">
        <v>21</v>
      </c>
      <c r="C12" s="182">
        <v>0</v>
      </c>
      <c r="D12" s="33"/>
      <c r="E12" s="121" t="s">
        <v>90</v>
      </c>
    </row>
    <row r="13" spans="2:5" ht="15.75">
      <c r="B13" s="27" t="s">
        <v>22</v>
      </c>
      <c r="C13" s="30">
        <v>0.1</v>
      </c>
      <c r="D13" s="30"/>
      <c r="E13" s="121" t="s">
        <v>90</v>
      </c>
    </row>
    <row r="14" spans="2:5" ht="15.75">
      <c r="B14" s="27" t="s">
        <v>23</v>
      </c>
      <c r="C14" s="182">
        <v>50</v>
      </c>
      <c r="D14" s="33"/>
      <c r="E14" s="121" t="s">
        <v>90</v>
      </c>
    </row>
    <row r="15" spans="2:5" ht="15.75">
      <c r="B15" s="27" t="s">
        <v>24</v>
      </c>
      <c r="C15" s="30">
        <v>0.1</v>
      </c>
      <c r="D15" s="30"/>
      <c r="E15" s="121" t="s">
        <v>90</v>
      </c>
    </row>
    <row r="16" spans="2:5" ht="15.75">
      <c r="B16" s="27"/>
      <c r="C16" s="42"/>
      <c r="D16" s="42"/>
      <c r="E16" s="121"/>
    </row>
    <row r="17" spans="2:5" ht="15.75">
      <c r="B17" s="40" t="s">
        <v>26</v>
      </c>
      <c r="C17" s="42"/>
      <c r="D17" s="42"/>
      <c r="E17" s="121"/>
    </row>
    <row r="18" spans="2:5" ht="15.75">
      <c r="B18" s="27" t="s">
        <v>27</v>
      </c>
      <c r="C18" s="29">
        <v>81400</v>
      </c>
      <c r="D18" s="29"/>
      <c r="E18" s="121" t="s">
        <v>83</v>
      </c>
    </row>
    <row r="19" spans="2:5" ht="15.75">
      <c r="B19" s="28" t="s">
        <v>28</v>
      </c>
      <c r="C19" s="117">
        <v>0.6</v>
      </c>
      <c r="D19" s="30"/>
      <c r="E19" s="121" t="s">
        <v>91</v>
      </c>
    </row>
    <row r="20" spans="2:5" ht="15.75">
      <c r="B20" s="27" t="s">
        <v>88</v>
      </c>
      <c r="C20" s="30">
        <v>0.3</v>
      </c>
      <c r="D20" s="30"/>
      <c r="E20" s="121" t="s">
        <v>333</v>
      </c>
    </row>
    <row r="21" spans="2:5" ht="15.75">
      <c r="B21" s="28" t="s">
        <v>29</v>
      </c>
      <c r="C21" s="117">
        <v>0.8</v>
      </c>
      <c r="D21" s="30"/>
      <c r="E21" s="121" t="s">
        <v>91</v>
      </c>
    </row>
    <row r="22" spans="2:5" ht="15.75">
      <c r="B22" s="27" t="s">
        <v>332</v>
      </c>
      <c r="C22" s="30">
        <v>0.35</v>
      </c>
      <c r="D22" s="30"/>
      <c r="E22" s="121" t="s">
        <v>333</v>
      </c>
    </row>
    <row r="23" spans="2:5" ht="15.75">
      <c r="B23" s="28" t="s">
        <v>268</v>
      </c>
      <c r="C23" s="30">
        <v>0.025</v>
      </c>
      <c r="E23" s="121" t="s">
        <v>325</v>
      </c>
    </row>
    <row r="24" spans="2:5" ht="15.75">
      <c r="B24" s="28" t="s">
        <v>12</v>
      </c>
      <c r="C24" s="44">
        <v>0.8</v>
      </c>
      <c r="E24" s="121" t="s">
        <v>371</v>
      </c>
    </row>
    <row r="25" spans="2:5" ht="15.75">
      <c r="B25" s="38" t="s">
        <v>181</v>
      </c>
      <c r="C25" s="107">
        <v>0.5</v>
      </c>
      <c r="D25" s="121"/>
      <c r="E25" s="121" t="s">
        <v>326</v>
      </c>
    </row>
    <row r="26" spans="3:5" ht="15.75">
      <c r="C26" s="43"/>
      <c r="D26" s="43"/>
      <c r="E26" s="121"/>
    </row>
    <row r="27" spans="2:5" ht="15.75">
      <c r="B27" s="40" t="s">
        <v>31</v>
      </c>
      <c r="C27" s="43"/>
      <c r="D27" s="43"/>
      <c r="E27" s="121"/>
    </row>
    <row r="28" spans="2:5" ht="15.75">
      <c r="B28" s="40" t="s">
        <v>158</v>
      </c>
      <c r="C28" s="126">
        <v>1</v>
      </c>
      <c r="D28" s="43"/>
      <c r="E28" s="121" t="s">
        <v>159</v>
      </c>
    </row>
    <row r="29" spans="2:5" ht="15.75">
      <c r="B29" s="40" t="s">
        <v>160</v>
      </c>
      <c r="C29" s="165">
        <v>2</v>
      </c>
      <c r="D29" s="43"/>
      <c r="E29" s="121" t="s">
        <v>161</v>
      </c>
    </row>
    <row r="30" spans="2:5" ht="15.75">
      <c r="B30" s="28" t="s">
        <v>135</v>
      </c>
      <c r="C30" s="34">
        <v>0.8</v>
      </c>
      <c r="D30" s="34"/>
      <c r="E30" s="121" t="s">
        <v>274</v>
      </c>
    </row>
    <row r="31" spans="2:5" ht="15.75">
      <c r="B31" s="28" t="s">
        <v>30</v>
      </c>
      <c r="C31" s="183">
        <v>7000</v>
      </c>
      <c r="D31" s="33"/>
      <c r="E31" s="121" t="s">
        <v>90</v>
      </c>
    </row>
    <row r="32" spans="2:5" ht="15.75">
      <c r="B32" s="28" t="s">
        <v>32</v>
      </c>
      <c r="C32" s="183">
        <v>22000</v>
      </c>
      <c r="D32" s="33"/>
      <c r="E32" s="121" t="s">
        <v>90</v>
      </c>
    </row>
    <row r="33" spans="2:5" ht="15.75">
      <c r="B33" s="28" t="s">
        <v>33</v>
      </c>
      <c r="C33" s="183">
        <v>33000</v>
      </c>
      <c r="D33" s="33"/>
      <c r="E33" s="121" t="s">
        <v>90</v>
      </c>
    </row>
    <row r="34" spans="2:5" ht="15.75">
      <c r="B34" s="28" t="s">
        <v>34</v>
      </c>
      <c r="C34" s="183">
        <v>30000</v>
      </c>
      <c r="D34" s="33"/>
      <c r="E34" s="121" t="s">
        <v>90</v>
      </c>
    </row>
    <row r="35" spans="2:5" ht="15.75">
      <c r="B35" s="28" t="s">
        <v>157</v>
      </c>
      <c r="C35" s="183">
        <v>40000</v>
      </c>
      <c r="D35" s="33"/>
      <c r="E35" s="121" t="s">
        <v>90</v>
      </c>
    </row>
    <row r="36" spans="3:5" ht="15.75">
      <c r="C36" s="33"/>
      <c r="D36" s="33"/>
      <c r="E36" s="121"/>
    </row>
    <row r="37" spans="2:5" ht="15.75">
      <c r="B37" s="40" t="s">
        <v>35</v>
      </c>
      <c r="C37" s="33"/>
      <c r="D37" s="33"/>
      <c r="E37" s="121"/>
    </row>
    <row r="38" spans="2:5" ht="15.75">
      <c r="B38" s="134" t="s">
        <v>170</v>
      </c>
      <c r="C38" s="30">
        <v>0.8</v>
      </c>
      <c r="D38" s="33"/>
      <c r="E38" s="121" t="s">
        <v>90</v>
      </c>
    </row>
    <row r="39" spans="2:5" ht="15.75">
      <c r="B39" s="134" t="s">
        <v>169</v>
      </c>
      <c r="C39" s="30">
        <v>0.85</v>
      </c>
      <c r="D39" s="33"/>
      <c r="E39" s="121" t="s">
        <v>90</v>
      </c>
    </row>
    <row r="40" spans="2:5" ht="15.75">
      <c r="B40" s="38" t="s">
        <v>36</v>
      </c>
      <c r="C40" s="182">
        <v>135</v>
      </c>
      <c r="D40" s="44"/>
      <c r="E40" s="121" t="s">
        <v>90</v>
      </c>
    </row>
    <row r="41" spans="2:5" ht="15.75">
      <c r="B41" s="38" t="s">
        <v>37</v>
      </c>
      <c r="C41" s="182">
        <v>150</v>
      </c>
      <c r="D41" s="44"/>
      <c r="E41" s="121" t="s">
        <v>90</v>
      </c>
    </row>
    <row r="42" spans="2:5" ht="15.75">
      <c r="B42" s="28" t="s">
        <v>38</v>
      </c>
      <c r="C42" s="182">
        <v>165</v>
      </c>
      <c r="D42" s="33"/>
      <c r="E42" s="121" t="s">
        <v>90</v>
      </c>
    </row>
    <row r="43" spans="2:5" ht="15.75">
      <c r="B43" s="28" t="s">
        <v>39</v>
      </c>
      <c r="C43" s="182">
        <v>210</v>
      </c>
      <c r="D43" s="33"/>
      <c r="E43" s="121" t="s">
        <v>90</v>
      </c>
    </row>
    <row r="44" spans="2:5" ht="15.75">
      <c r="B44" s="28" t="s">
        <v>41</v>
      </c>
      <c r="C44" s="182">
        <v>150</v>
      </c>
      <c r="D44" s="44"/>
      <c r="E44" s="121" t="s">
        <v>90</v>
      </c>
    </row>
    <row r="45" spans="2:5" ht="15.75">
      <c r="B45" s="28" t="s">
        <v>40</v>
      </c>
      <c r="C45" s="182">
        <v>180</v>
      </c>
      <c r="D45" s="44"/>
      <c r="E45" s="121" t="s">
        <v>90</v>
      </c>
    </row>
    <row r="46" spans="2:5" ht="15.75">
      <c r="B46" s="28" t="s">
        <v>42</v>
      </c>
      <c r="C46" s="182">
        <v>5</v>
      </c>
      <c r="D46" s="33"/>
      <c r="E46" s="121" t="s">
        <v>90</v>
      </c>
    </row>
    <row r="47" spans="2:5" ht="15.75">
      <c r="B47" s="28" t="s">
        <v>43</v>
      </c>
      <c r="C47" s="30">
        <v>0.15</v>
      </c>
      <c r="D47" s="30"/>
      <c r="E47" s="121" t="s">
        <v>90</v>
      </c>
    </row>
    <row r="48" spans="3:5" ht="15.75">
      <c r="C48" s="30"/>
      <c r="D48" s="30"/>
      <c r="E48" s="121"/>
    </row>
    <row r="49" spans="2:5" ht="15.75">
      <c r="B49" s="40" t="s">
        <v>87</v>
      </c>
      <c r="C49" s="30"/>
      <c r="D49" s="30"/>
      <c r="E49" s="121"/>
    </row>
    <row r="50" spans="2:5" ht="15.75">
      <c r="B50" s="27" t="s">
        <v>44</v>
      </c>
      <c r="C50" s="30">
        <v>0.3</v>
      </c>
      <c r="D50" s="30"/>
      <c r="E50" s="121" t="s">
        <v>90</v>
      </c>
    </row>
    <row r="51" spans="2:5" ht="15.75">
      <c r="B51" s="27" t="s">
        <v>45</v>
      </c>
      <c r="C51" s="30">
        <v>0.05</v>
      </c>
      <c r="D51" s="30"/>
      <c r="E51" s="121" t="s">
        <v>90</v>
      </c>
    </row>
    <row r="52" spans="2:5" ht="15.75">
      <c r="B52" s="27" t="s">
        <v>94</v>
      </c>
      <c r="C52" s="30">
        <v>0.2</v>
      </c>
      <c r="D52" s="30"/>
      <c r="E52" s="121" t="s">
        <v>90</v>
      </c>
    </row>
    <row r="53" spans="2:5" ht="15.75">
      <c r="B53" s="27"/>
      <c r="C53" s="30"/>
      <c r="D53" s="30"/>
      <c r="E53" s="121"/>
    </row>
    <row r="54" spans="2:5" ht="15.75">
      <c r="B54" s="56" t="s">
        <v>86</v>
      </c>
      <c r="C54" s="30"/>
      <c r="D54" s="30"/>
      <c r="E54" s="121"/>
    </row>
    <row r="55" spans="2:5" ht="15.75">
      <c r="B55" s="28" t="s">
        <v>46</v>
      </c>
      <c r="C55" s="36">
        <v>0.04</v>
      </c>
      <c r="D55" s="36"/>
      <c r="E55" s="121" t="s">
        <v>90</v>
      </c>
    </row>
    <row r="56" spans="2:5" ht="15.75">
      <c r="B56" s="28" t="s">
        <v>47</v>
      </c>
      <c r="C56" s="36">
        <v>0.25</v>
      </c>
      <c r="D56" s="36"/>
      <c r="E56" s="121" t="s">
        <v>90</v>
      </c>
    </row>
    <row r="57" spans="2:5" ht="15.75">
      <c r="B57" s="28" t="s">
        <v>48</v>
      </c>
      <c r="C57" s="36">
        <v>0.04</v>
      </c>
      <c r="D57" s="36"/>
      <c r="E57" s="121" t="s">
        <v>90</v>
      </c>
    </row>
    <row r="58" spans="2:5" ht="15.75">
      <c r="B58" s="28" t="s">
        <v>49</v>
      </c>
      <c r="C58" s="36">
        <v>0.08</v>
      </c>
      <c r="D58" s="36"/>
      <c r="E58" s="121" t="s">
        <v>90</v>
      </c>
    </row>
    <row r="59" spans="3:5" ht="15.75">
      <c r="C59" s="36"/>
      <c r="D59" s="36"/>
      <c r="E59" s="121"/>
    </row>
    <row r="60" spans="2:5" ht="15.75">
      <c r="B60" s="40" t="s">
        <v>51</v>
      </c>
      <c r="C60" s="36"/>
      <c r="D60" s="36"/>
      <c r="E60" s="121"/>
    </row>
    <row r="61" spans="2:5" ht="15.75">
      <c r="B61" s="28" t="s">
        <v>50</v>
      </c>
      <c r="C61" s="45">
        <v>0.05</v>
      </c>
      <c r="D61" s="45"/>
      <c r="E61" s="121" t="s">
        <v>90</v>
      </c>
    </row>
    <row r="62" spans="2:5" ht="15.75">
      <c r="B62" s="28" t="s">
        <v>53</v>
      </c>
      <c r="C62" s="45">
        <v>0.06</v>
      </c>
      <c r="D62" s="45"/>
      <c r="E62" s="121" t="s">
        <v>90</v>
      </c>
    </row>
    <row r="63" spans="2:5" ht="15.75">
      <c r="B63" s="28" t="s">
        <v>52</v>
      </c>
      <c r="C63" s="45">
        <v>0.2</v>
      </c>
      <c r="D63" s="45"/>
      <c r="E63" s="121" t="s">
        <v>90</v>
      </c>
    </row>
    <row r="64" spans="2:5" ht="15.75">
      <c r="B64" s="28" t="s">
        <v>358</v>
      </c>
      <c r="C64" s="57">
        <f>C61*C63*10000</f>
        <v>100.00000000000001</v>
      </c>
      <c r="D64" s="45"/>
      <c r="E64" s="121" t="s">
        <v>93</v>
      </c>
    </row>
    <row r="65" spans="2:5" ht="15.75">
      <c r="B65" s="28" t="s">
        <v>257</v>
      </c>
      <c r="C65" s="45">
        <v>0.33</v>
      </c>
      <c r="D65" s="45"/>
      <c r="E65" s="121" t="s">
        <v>90</v>
      </c>
    </row>
    <row r="66" ht="15.75">
      <c r="E66" s="121"/>
    </row>
    <row r="67" spans="2:5" ht="15.75">
      <c r="B67" s="39" t="s">
        <v>54</v>
      </c>
      <c r="C67" s="40"/>
      <c r="D67" s="40"/>
      <c r="E67" s="122"/>
    </row>
    <row r="68" spans="2:5" ht="15.75">
      <c r="B68" s="71" t="s">
        <v>147</v>
      </c>
      <c r="C68" s="40"/>
      <c r="D68" s="40"/>
      <c r="E68" s="122"/>
    </row>
    <row r="69" spans="2:5" ht="15.75">
      <c r="B69" s="119" t="s">
        <v>131</v>
      </c>
      <c r="C69" s="107">
        <v>0.0416481429091056</v>
      </c>
      <c r="D69" s="36"/>
      <c r="E69" s="121" t="s">
        <v>89</v>
      </c>
    </row>
    <row r="70" spans="2:5" ht="15.75">
      <c r="B70" s="119" t="s">
        <v>132</v>
      </c>
      <c r="C70" s="107">
        <v>0.529105875062307</v>
      </c>
      <c r="D70" s="36"/>
      <c r="E70" s="121" t="s">
        <v>89</v>
      </c>
    </row>
    <row r="71" spans="2:5" ht="15.75">
      <c r="B71" s="119" t="s">
        <v>133</v>
      </c>
      <c r="C71" s="107">
        <v>0.381939673173557</v>
      </c>
      <c r="D71" s="36"/>
      <c r="E71" s="121" t="s">
        <v>89</v>
      </c>
    </row>
    <row r="72" spans="2:5" ht="15.75">
      <c r="B72" s="119" t="s">
        <v>134</v>
      </c>
      <c r="C72" s="107">
        <v>0.0473063088550297</v>
      </c>
      <c r="D72" s="36"/>
      <c r="E72" s="121" t="s">
        <v>89</v>
      </c>
    </row>
    <row r="73" spans="2:5" ht="15.75">
      <c r="B73" s="37" t="s">
        <v>148</v>
      </c>
      <c r="C73" s="107"/>
      <c r="D73" s="36"/>
      <c r="E73" s="121"/>
    </row>
    <row r="74" spans="2:5" ht="15.75">
      <c r="B74" s="119" t="s">
        <v>131</v>
      </c>
      <c r="C74" s="35">
        <v>456.456140350877</v>
      </c>
      <c r="D74" s="35"/>
      <c r="E74" s="121" t="s">
        <v>89</v>
      </c>
    </row>
    <row r="75" spans="2:5" ht="15.75">
      <c r="B75" s="119" t="s">
        <v>132</v>
      </c>
      <c r="C75" s="35">
        <v>666.774383078731</v>
      </c>
      <c r="D75" s="35"/>
      <c r="E75" s="121" t="s">
        <v>89</v>
      </c>
    </row>
    <row r="76" spans="2:5" ht="15.75">
      <c r="B76" s="119" t="s">
        <v>133</v>
      </c>
      <c r="C76" s="35">
        <v>985.729032258065</v>
      </c>
      <c r="D76" s="35"/>
      <c r="E76" s="121" t="s">
        <v>89</v>
      </c>
    </row>
    <row r="77" spans="2:5" ht="15.75">
      <c r="B77" s="119" t="s">
        <v>134</v>
      </c>
      <c r="C77" s="35">
        <v>1335.78113207547</v>
      </c>
      <c r="D77" s="35"/>
      <c r="E77" s="121" t="s">
        <v>89</v>
      </c>
    </row>
    <row r="78" spans="2:5" ht="15.75">
      <c r="B78" s="37" t="s">
        <v>85</v>
      </c>
      <c r="C78" s="57">
        <f>SUMPRODUCT(C69:C72,C74:C77)</f>
        <v>811.4846932080893</v>
      </c>
      <c r="D78" s="35"/>
      <c r="E78" s="123" t="s">
        <v>278</v>
      </c>
    </row>
    <row r="79" spans="3:5" ht="15.75">
      <c r="C79" s="30"/>
      <c r="D79" s="30"/>
      <c r="E79" s="121"/>
    </row>
    <row r="97" spans="1:25" s="174" customFormat="1" ht="15.75">
      <c r="A97" s="130"/>
      <c r="B97" s="38"/>
      <c r="C97" s="177"/>
      <c r="D97" s="38"/>
      <c r="E97" s="38"/>
      <c r="F97" s="38"/>
      <c r="G97" s="38"/>
      <c r="H97" s="38"/>
      <c r="I97" s="38"/>
      <c r="J97" s="38"/>
      <c r="K97" s="38"/>
      <c r="L97" s="38"/>
      <c r="M97" s="38"/>
      <c r="N97" s="38"/>
      <c r="O97" s="38"/>
      <c r="P97" s="38"/>
      <c r="Q97" s="38"/>
      <c r="R97" s="38"/>
      <c r="S97" s="38"/>
      <c r="T97" s="38"/>
      <c r="U97" s="175"/>
      <c r="V97" s="175"/>
      <c r="W97" s="175"/>
      <c r="X97" s="175"/>
      <c r="Y97" s="175"/>
    </row>
    <row r="98" spans="1:25" s="174" customFormat="1" ht="15.75">
      <c r="A98" s="130"/>
      <c r="B98" s="38"/>
      <c r="C98" s="177"/>
      <c r="D98" s="38"/>
      <c r="E98" s="38"/>
      <c r="F98" s="38"/>
      <c r="G98" s="38"/>
      <c r="H98" s="38"/>
      <c r="I98" s="38"/>
      <c r="J98" s="38"/>
      <c r="K98" s="38"/>
      <c r="L98" s="38"/>
      <c r="M98" s="38"/>
      <c r="N98" s="38"/>
      <c r="O98" s="38"/>
      <c r="P98" s="38"/>
      <c r="Q98" s="38"/>
      <c r="R98" s="38"/>
      <c r="S98" s="38"/>
      <c r="T98" s="38"/>
      <c r="U98" s="175"/>
      <c r="V98" s="175"/>
      <c r="W98" s="175"/>
      <c r="X98" s="175"/>
      <c r="Y98" s="175"/>
    </row>
    <row r="99" spans="1:25" s="174" customFormat="1" ht="15.75">
      <c r="A99" s="130"/>
      <c r="C99" s="177"/>
      <c r="D99" s="38"/>
      <c r="E99" s="38"/>
      <c r="F99" s="38"/>
      <c r="G99" s="38"/>
      <c r="H99" s="38"/>
      <c r="I99" s="38"/>
      <c r="J99" s="38"/>
      <c r="K99" s="38"/>
      <c r="L99" s="38"/>
      <c r="M99" s="38"/>
      <c r="N99" s="38"/>
      <c r="O99" s="38"/>
      <c r="P99" s="38"/>
      <c r="Q99" s="38"/>
      <c r="R99" s="38"/>
      <c r="S99" s="38"/>
      <c r="T99" s="38"/>
      <c r="U99" s="175"/>
      <c r="V99" s="175"/>
      <c r="W99" s="175"/>
      <c r="X99" s="175"/>
      <c r="Y99" s="175"/>
    </row>
    <row r="100" spans="1:25" s="174" customFormat="1" ht="15.75">
      <c r="A100" s="130"/>
      <c r="B100" s="38"/>
      <c r="C100" s="177"/>
      <c r="D100" s="38"/>
      <c r="E100" s="38"/>
      <c r="F100" s="38"/>
      <c r="G100" s="38"/>
      <c r="H100" s="38"/>
      <c r="I100" s="38"/>
      <c r="J100" s="38"/>
      <c r="K100" s="38"/>
      <c r="L100" s="38"/>
      <c r="M100" s="38"/>
      <c r="N100" s="38"/>
      <c r="O100" s="38"/>
      <c r="P100" s="38"/>
      <c r="Q100" s="38"/>
      <c r="R100" s="38"/>
      <c r="S100" s="38"/>
      <c r="T100" s="38"/>
      <c r="U100" s="175"/>
      <c r="V100" s="175"/>
      <c r="W100" s="175"/>
      <c r="X100" s="175"/>
      <c r="Y100" s="175"/>
    </row>
    <row r="101" spans="1:25" s="174" customFormat="1" ht="15.75">
      <c r="A101" s="130"/>
      <c r="B101" s="38"/>
      <c r="C101" s="177"/>
      <c r="D101" s="38"/>
      <c r="E101" s="38"/>
      <c r="F101" s="38"/>
      <c r="G101" s="38"/>
      <c r="H101" s="38"/>
      <c r="I101" s="38"/>
      <c r="J101" s="38"/>
      <c r="K101" s="38"/>
      <c r="L101" s="38"/>
      <c r="M101" s="38"/>
      <c r="N101" s="38"/>
      <c r="O101" s="38"/>
      <c r="P101" s="38"/>
      <c r="Q101" s="38"/>
      <c r="R101" s="38"/>
      <c r="S101" s="38"/>
      <c r="T101" s="38"/>
      <c r="U101" s="175"/>
      <c r="V101" s="175"/>
      <c r="W101" s="175"/>
      <c r="X101" s="175"/>
      <c r="Y101" s="175"/>
    </row>
    <row r="102" spans="1:25" s="174" customFormat="1" ht="15.75">
      <c r="A102" s="130"/>
      <c r="B102" s="38"/>
      <c r="C102" s="177"/>
      <c r="D102" s="38"/>
      <c r="E102" s="38"/>
      <c r="F102" s="38"/>
      <c r="G102" s="38"/>
      <c r="H102" s="38"/>
      <c r="I102" s="38"/>
      <c r="J102" s="38"/>
      <c r="K102" s="38"/>
      <c r="L102" s="38"/>
      <c r="M102" s="38"/>
      <c r="N102" s="38"/>
      <c r="O102" s="38"/>
      <c r="P102" s="38"/>
      <c r="Q102" s="38"/>
      <c r="R102" s="38"/>
      <c r="S102" s="38"/>
      <c r="T102" s="38"/>
      <c r="U102" s="175"/>
      <c r="V102" s="175"/>
      <c r="W102" s="175"/>
      <c r="X102" s="175"/>
      <c r="Y102" s="175"/>
    </row>
    <row r="103" spans="1:25" s="174" customFormat="1" ht="15.75">
      <c r="A103" s="130"/>
      <c r="B103" s="38"/>
      <c r="C103" s="178"/>
      <c r="D103" s="152"/>
      <c r="E103" s="152"/>
      <c r="F103" s="175"/>
      <c r="G103" s="175"/>
      <c r="H103" s="175"/>
      <c r="I103" s="175"/>
      <c r="J103" s="175"/>
      <c r="K103" s="175"/>
      <c r="L103" s="175"/>
      <c r="M103" s="175"/>
      <c r="P103" s="175"/>
      <c r="Q103" s="175"/>
      <c r="R103" s="175"/>
      <c r="S103" s="175"/>
      <c r="T103" s="175"/>
      <c r="U103" s="175"/>
      <c r="V103" s="175"/>
      <c r="W103" s="175"/>
      <c r="X103" s="175"/>
      <c r="Y103" s="175"/>
    </row>
    <row r="104" spans="1:25" s="174" customFormat="1" ht="15.75">
      <c r="A104" s="130"/>
      <c r="B104" s="38"/>
      <c r="C104" s="178"/>
      <c r="D104" s="152"/>
      <c r="E104" s="152"/>
      <c r="F104" s="175"/>
      <c r="G104" s="175"/>
      <c r="H104" s="175"/>
      <c r="I104" s="175"/>
      <c r="J104" s="175"/>
      <c r="K104" s="175"/>
      <c r="L104" s="175"/>
      <c r="M104" s="175"/>
      <c r="P104" s="175"/>
      <c r="Q104" s="175"/>
      <c r="R104" s="175"/>
      <c r="S104" s="175"/>
      <c r="T104" s="175"/>
      <c r="U104" s="175"/>
      <c r="V104" s="175"/>
      <c r="W104" s="175"/>
      <c r="X104" s="175"/>
      <c r="Y104" s="175"/>
    </row>
    <row r="154" spans="2:7" ht="15.75">
      <c r="B154" s="90"/>
      <c r="C154" s="102"/>
      <c r="D154" s="102"/>
      <c r="E154" s="102"/>
      <c r="F154" s="102"/>
      <c r="G154" s="102"/>
    </row>
    <row r="155" spans="2:7" ht="15.75">
      <c r="B155" s="90"/>
      <c r="C155" s="101"/>
      <c r="D155" s="101"/>
      <c r="E155" s="101"/>
      <c r="F155" s="101"/>
      <c r="G155" s="101"/>
    </row>
    <row r="156" spans="2:7" ht="15.75">
      <c r="B156" s="90"/>
      <c r="C156" s="103"/>
      <c r="D156" s="103"/>
      <c r="E156" s="103"/>
      <c r="F156" s="103"/>
      <c r="G156" s="103"/>
    </row>
    <row r="157" spans="2:7" ht="15.75">
      <c r="B157" s="108"/>
      <c r="C157" s="104"/>
      <c r="D157" s="104"/>
      <c r="E157" s="104"/>
      <c r="F157" s="104"/>
      <c r="G157" s="104"/>
    </row>
    <row r="158" spans="2:7" ht="15.75">
      <c r="B158" s="108"/>
      <c r="C158" s="104"/>
      <c r="D158" s="104"/>
      <c r="E158" s="104"/>
      <c r="F158" s="104"/>
      <c r="G158" s="104"/>
    </row>
    <row r="159" spans="2:7" ht="15.75">
      <c r="B159" s="109"/>
      <c r="C159" s="105"/>
      <c r="D159" s="105"/>
      <c r="E159" s="105"/>
      <c r="F159" s="105"/>
      <c r="G159" s="105"/>
    </row>
    <row r="160" spans="2:7" ht="15.75">
      <c r="B160" s="90"/>
      <c r="C160" s="106"/>
      <c r="D160" s="106"/>
      <c r="E160" s="106"/>
      <c r="F160" s="106"/>
      <c r="G160" s="106"/>
    </row>
  </sheetData>
  <sheetProtection/>
  <mergeCells count="1">
    <mergeCell ref="A2:E2"/>
  </mergeCells>
  <printOptions/>
  <pageMargins left="0.75" right="0.75" top="1" bottom="1" header="0.5" footer="0.5"/>
  <pageSetup orientation="portrait" scale="54"/>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AT163"/>
  <sheetViews>
    <sheetView zoomScalePageLayoutView="0" workbookViewId="0" topLeftCell="A76">
      <selection activeCell="C70" sqref="C70"/>
    </sheetView>
  </sheetViews>
  <sheetFormatPr defaultColWidth="11.00390625" defaultRowHeight="15.75"/>
  <cols>
    <col min="1" max="1" width="3.875" style="0" customWidth="1"/>
    <col min="2" max="2" width="65.875" style="0" bestFit="1" customWidth="1"/>
    <col min="3" max="3" width="24.50390625" style="0" bestFit="1" customWidth="1"/>
    <col min="4" max="4" width="15.50390625" style="0" bestFit="1" customWidth="1"/>
    <col min="5" max="5" width="56.125" style="232" customWidth="1"/>
    <col min="6" max="10" width="22.00390625" style="0" customWidth="1"/>
    <col min="11" max="11" width="14.125" style="0" customWidth="1"/>
    <col min="12" max="16" width="13.625" style="0" customWidth="1"/>
  </cols>
  <sheetData>
    <row r="1" spans="1:5" s="140" customFormat="1" ht="26.25">
      <c r="A1" s="139" t="str">
        <f ca="1">MID(CELL("filename",A1),FIND("]",CELL("filename",A1))+1,255)</f>
        <v>Affordability</v>
      </c>
      <c r="E1" s="221"/>
    </row>
    <row r="2" spans="1:46" s="2" customFormat="1" ht="30" customHeight="1">
      <c r="A2" s="310" t="str">
        <f>Overview!C16</f>
        <v>This tab shows how the affordable rents and sales prices were calculated based on Austin's 4-person median family income (MFI) defined by U.S. Department of Housing &amp; Urban Development. Resulting outputs from this tab factor into the feasibility calculations on the 'Pro Forma' tab and flow through all the subsequent calculations, including the 'Policy' tab's results.</v>
      </c>
      <c r="B2" s="310"/>
      <c r="C2" s="310"/>
      <c r="D2" s="310"/>
      <c r="E2" s="310"/>
      <c r="F2" s="203"/>
      <c r="G2" s="203"/>
      <c r="H2" s="203"/>
      <c r="I2" s="203"/>
      <c r="J2" s="203"/>
      <c r="K2" s="203"/>
      <c r="L2" s="5"/>
      <c r="M2" s="3"/>
      <c r="N2" s="3"/>
      <c r="O2" s="3"/>
      <c r="P2" s="3"/>
      <c r="Q2" s="3"/>
      <c r="R2" s="3"/>
      <c r="S2" s="3"/>
      <c r="T2" s="3"/>
      <c r="U2" s="3"/>
      <c r="V2" s="3"/>
      <c r="AL2" s="3"/>
      <c r="AM2" s="3"/>
      <c r="AN2" s="3"/>
      <c r="AO2" s="3"/>
      <c r="AP2" s="3"/>
      <c r="AQ2" s="3"/>
      <c r="AR2" s="3"/>
      <c r="AS2" s="3"/>
      <c r="AT2" s="3"/>
    </row>
    <row r="3" spans="1:46" s="10" customFormat="1" ht="15.75">
      <c r="A3" s="7"/>
      <c r="B3" s="8"/>
      <c r="C3" s="8"/>
      <c r="D3" s="8"/>
      <c r="E3" s="222"/>
      <c r="F3" s="8"/>
      <c r="G3" s="8"/>
      <c r="H3" s="8"/>
      <c r="I3" s="8"/>
      <c r="J3" s="8"/>
      <c r="K3" s="9"/>
      <c r="L3" s="8"/>
      <c r="M3" s="9"/>
      <c r="N3" s="9"/>
      <c r="O3" s="9"/>
      <c r="P3" s="9"/>
      <c r="Q3" s="9"/>
      <c r="R3" s="9"/>
      <c r="S3" s="9"/>
      <c r="T3" s="9"/>
      <c r="U3" s="9"/>
      <c r="V3" s="9"/>
      <c r="AA3" s="9"/>
      <c r="AB3" s="9"/>
      <c r="AC3" s="9"/>
      <c r="AD3" s="9"/>
      <c r="AF3" s="9"/>
      <c r="AG3" s="9"/>
      <c r="AH3" s="9"/>
      <c r="AI3" s="9"/>
      <c r="AJ3" s="9"/>
      <c r="AK3" s="9"/>
      <c r="AL3" s="9"/>
      <c r="AM3" s="9"/>
      <c r="AN3" s="9"/>
      <c r="AO3" s="9"/>
      <c r="AP3" s="9"/>
      <c r="AQ3" s="9"/>
      <c r="AR3" s="9"/>
      <c r="AS3" s="9"/>
      <c r="AT3" s="9"/>
    </row>
    <row r="4" s="28" customFormat="1" ht="15.75">
      <c r="E4" s="223"/>
    </row>
    <row r="5" spans="1:5" s="234" customFormat="1" ht="15.75">
      <c r="A5" s="235" t="s">
        <v>138</v>
      </c>
      <c r="C5" s="236"/>
      <c r="D5" s="236"/>
      <c r="E5" s="237"/>
    </row>
    <row r="6" spans="2:5" s="28" customFormat="1" ht="15.75">
      <c r="B6" s="38" t="s">
        <v>149</v>
      </c>
      <c r="C6" s="30"/>
      <c r="D6" s="30"/>
      <c r="E6" s="224"/>
    </row>
    <row r="7" spans="2:5" s="28" customFormat="1" ht="15.75">
      <c r="B7" s="119" t="s">
        <v>131</v>
      </c>
      <c r="C7" s="107">
        <v>0.7</v>
      </c>
      <c r="D7" s="30"/>
      <c r="E7" s="224" t="s">
        <v>273</v>
      </c>
    </row>
    <row r="8" spans="2:5" s="28" customFormat="1" ht="15.75">
      <c r="B8" s="119" t="s">
        <v>132</v>
      </c>
      <c r="C8" s="107">
        <v>0.7</v>
      </c>
      <c r="D8" s="30"/>
      <c r="E8" s="224" t="s">
        <v>273</v>
      </c>
    </row>
    <row r="9" spans="2:5" s="28" customFormat="1" ht="15.75">
      <c r="B9" s="119" t="s">
        <v>133</v>
      </c>
      <c r="C9" s="107">
        <v>0.8</v>
      </c>
      <c r="D9" s="30"/>
      <c r="E9" s="224" t="s">
        <v>273</v>
      </c>
    </row>
    <row r="10" spans="2:5" s="28" customFormat="1" ht="15.75">
      <c r="B10" s="119" t="s">
        <v>134</v>
      </c>
      <c r="C10" s="107">
        <v>0.9</v>
      </c>
      <c r="D10" s="30"/>
      <c r="E10" s="224" t="s">
        <v>273</v>
      </c>
    </row>
    <row r="11" spans="2:5" s="28" customFormat="1" ht="31.5">
      <c r="B11" s="37" t="s">
        <v>96</v>
      </c>
      <c r="C11" s="80">
        <f>ROUND(C7*Assumptions!$C$18*2,-2)/2</f>
        <v>57000</v>
      </c>
      <c r="D11" s="246"/>
      <c r="E11" s="225" t="s">
        <v>97</v>
      </c>
    </row>
    <row r="12" spans="2:5" s="28" customFormat="1" ht="31.5">
      <c r="B12" s="37" t="s">
        <v>98</v>
      </c>
      <c r="C12" s="80">
        <f>ROUND(C8*Assumptions!$C$18*2,-2)/2</f>
        <v>57000</v>
      </c>
      <c r="D12" s="246"/>
      <c r="E12" s="225" t="s">
        <v>97</v>
      </c>
    </row>
    <row r="13" spans="2:5" s="28" customFormat="1" ht="31.5">
      <c r="B13" s="37" t="s">
        <v>99</v>
      </c>
      <c r="C13" s="80">
        <f>ROUND(C9*Assumptions!$C$18*2,-2)/2</f>
        <v>65100</v>
      </c>
      <c r="D13" s="246"/>
      <c r="E13" s="225" t="s">
        <v>97</v>
      </c>
    </row>
    <row r="14" spans="2:5" s="28" customFormat="1" ht="31.5">
      <c r="B14" s="37" t="s">
        <v>100</v>
      </c>
      <c r="C14" s="80">
        <f>ROUND(C10*Assumptions!$C$18*2,-2)/2</f>
        <v>73250</v>
      </c>
      <c r="D14" s="246"/>
      <c r="E14" s="225" t="s">
        <v>97</v>
      </c>
    </row>
    <row r="15" spans="3:5" s="28" customFormat="1" ht="15.75">
      <c r="C15" s="30"/>
      <c r="D15" s="30"/>
      <c r="E15" s="224"/>
    </row>
    <row r="16" spans="1:5" s="234" customFormat="1" ht="15.75">
      <c r="A16" s="235" t="s">
        <v>150</v>
      </c>
      <c r="E16" s="237"/>
    </row>
    <row r="17" spans="2:5" s="28" customFormat="1" ht="15.75">
      <c r="B17" s="27" t="s">
        <v>331</v>
      </c>
      <c r="C17" s="247">
        <f>Assumptions!C19</f>
        <v>0.6</v>
      </c>
      <c r="D17" s="27"/>
      <c r="E17" s="224" t="s">
        <v>91</v>
      </c>
    </row>
    <row r="18" spans="2:5" s="28" customFormat="1" ht="15.75">
      <c r="B18" s="27" t="s">
        <v>88</v>
      </c>
      <c r="C18" s="155">
        <f>Assumptions!C20</f>
        <v>0.3</v>
      </c>
      <c r="D18" s="30"/>
      <c r="E18" s="224" t="s">
        <v>91</v>
      </c>
    </row>
    <row r="19" spans="2:5" s="28" customFormat="1" ht="15.75">
      <c r="B19" s="259" t="s">
        <v>372</v>
      </c>
      <c r="C19" s="164">
        <f>C11*$C$17*$C$18/12</f>
        <v>855</v>
      </c>
      <c r="D19" s="31"/>
      <c r="E19" s="224" t="s">
        <v>93</v>
      </c>
    </row>
    <row r="20" spans="2:5" s="28" customFormat="1" ht="15.75">
      <c r="B20" s="27" t="s">
        <v>374</v>
      </c>
      <c r="C20" s="164">
        <f>C12*$C$17*$C$18/12</f>
        <v>855</v>
      </c>
      <c r="D20" s="31"/>
      <c r="E20" s="224" t="s">
        <v>93</v>
      </c>
    </row>
    <row r="21" spans="2:5" s="28" customFormat="1" ht="15.75">
      <c r="B21" s="27" t="s">
        <v>375</v>
      </c>
      <c r="C21" s="164">
        <f>C13*$C$17*$C$18/12</f>
        <v>976.5</v>
      </c>
      <c r="D21" s="31"/>
      <c r="E21" s="224" t="s">
        <v>93</v>
      </c>
    </row>
    <row r="22" spans="2:5" s="28" customFormat="1" ht="15.75">
      <c r="B22" s="27" t="s">
        <v>376</v>
      </c>
      <c r="C22" s="164">
        <f>C14*$C$17*$C$18/12</f>
        <v>1098.75</v>
      </c>
      <c r="D22" s="31"/>
      <c r="E22" s="224" t="s">
        <v>93</v>
      </c>
    </row>
    <row r="23" spans="2:5" s="28" customFormat="1" ht="15.75">
      <c r="B23" s="27" t="s">
        <v>373</v>
      </c>
      <c r="C23" s="163">
        <f>SUMPRODUCT(C19:C22,Assumptions!C69:C72)</f>
        <v>912.936583074</v>
      </c>
      <c r="D23" s="31"/>
      <c r="E23" s="224" t="s">
        <v>379</v>
      </c>
    </row>
    <row r="24" spans="1:5" s="28" customFormat="1" ht="15.75">
      <c r="A24" s="27"/>
      <c r="B24" s="31"/>
      <c r="C24" s="32"/>
      <c r="D24" s="32"/>
      <c r="E24" s="226"/>
    </row>
    <row r="25" spans="1:5" s="234" customFormat="1" ht="15.75">
      <c r="A25" s="235" t="s">
        <v>327</v>
      </c>
      <c r="E25" s="237"/>
    </row>
    <row r="26" spans="1:5" s="28" customFormat="1" ht="15.75">
      <c r="A26" s="27"/>
      <c r="B26" s="118" t="s">
        <v>143</v>
      </c>
      <c r="C26" s="32"/>
      <c r="D26" s="32"/>
      <c r="E26" s="226"/>
    </row>
    <row r="27" spans="2:5" s="78" customFormat="1" ht="15.75">
      <c r="B27" s="37" t="s">
        <v>118</v>
      </c>
      <c r="C27" s="94">
        <v>3</v>
      </c>
      <c r="D27" s="76"/>
      <c r="E27" s="225" t="s">
        <v>337</v>
      </c>
    </row>
    <row r="28" spans="2:5" s="78" customFormat="1" ht="15.75">
      <c r="B28" s="120" t="s">
        <v>141</v>
      </c>
      <c r="C28" s="94"/>
      <c r="D28" s="76"/>
      <c r="E28" s="225"/>
    </row>
    <row r="29" spans="2:5" s="78" customFormat="1" ht="15.75">
      <c r="B29" s="119" t="s">
        <v>131</v>
      </c>
      <c r="C29" s="115">
        <f>C11*$C$27*Assumptions!$C$21</f>
        <v>136800</v>
      </c>
      <c r="D29" s="76"/>
      <c r="E29" s="225"/>
    </row>
    <row r="30" spans="2:5" s="78" customFormat="1" ht="15.75">
      <c r="B30" s="119" t="s">
        <v>132</v>
      </c>
      <c r="C30" s="115">
        <f>C12*$C$27*Assumptions!$C$21</f>
        <v>136800</v>
      </c>
      <c r="D30" s="76"/>
      <c r="E30" s="225"/>
    </row>
    <row r="31" spans="2:5" s="78" customFormat="1" ht="15.75">
      <c r="B31" s="119" t="s">
        <v>133</v>
      </c>
      <c r="C31" s="115">
        <f>C13*$C$27*Assumptions!$C$21</f>
        <v>156240</v>
      </c>
      <c r="D31" s="76"/>
      <c r="E31" s="225"/>
    </row>
    <row r="32" spans="2:5" s="78" customFormat="1" ht="15.75">
      <c r="B32" s="119" t="s">
        <v>134</v>
      </c>
      <c r="C32" s="115">
        <f>C14*$C$27*Assumptions!$C$21</f>
        <v>175800</v>
      </c>
      <c r="D32" s="76"/>
      <c r="E32" s="225"/>
    </row>
    <row r="33" spans="2:5" s="78" customFormat="1" ht="15.75">
      <c r="B33" s="119"/>
      <c r="C33" s="115"/>
      <c r="D33" s="76"/>
      <c r="E33" s="225"/>
    </row>
    <row r="34" spans="2:5" s="81" customFormat="1" ht="15.75">
      <c r="B34" s="118" t="s">
        <v>144</v>
      </c>
      <c r="C34" s="76"/>
      <c r="D34" s="76"/>
      <c r="E34" s="225"/>
    </row>
    <row r="35" spans="2:5" s="81" customFormat="1" ht="15.75">
      <c r="B35" s="37" t="s">
        <v>322</v>
      </c>
      <c r="C35" s="233" t="s">
        <v>323</v>
      </c>
      <c r="D35" s="76"/>
      <c r="E35" s="225" t="s">
        <v>91</v>
      </c>
    </row>
    <row r="36" spans="2:5" s="78" customFormat="1" ht="15.75">
      <c r="B36" s="37" t="s">
        <v>139</v>
      </c>
      <c r="C36" s="248">
        <f>Assumptions!C22</f>
        <v>0.35</v>
      </c>
      <c r="D36" s="76"/>
      <c r="E36" s="225" t="s">
        <v>137</v>
      </c>
    </row>
    <row r="37" spans="2:5" s="78" customFormat="1" ht="15.75">
      <c r="B37" s="37" t="s">
        <v>101</v>
      </c>
      <c r="C37" s="82">
        <v>0.045</v>
      </c>
      <c r="D37" s="76"/>
      <c r="E37" s="225" t="s">
        <v>136</v>
      </c>
    </row>
    <row r="38" spans="2:5" s="78" customFormat="1" ht="15.75">
      <c r="B38" s="37" t="s">
        <v>102</v>
      </c>
      <c r="C38" s="83">
        <v>30</v>
      </c>
      <c r="D38" s="76"/>
      <c r="E38" s="225" t="s">
        <v>104</v>
      </c>
    </row>
    <row r="39" spans="2:5" s="78" customFormat="1" ht="15.75">
      <c r="B39" s="37" t="s">
        <v>103</v>
      </c>
      <c r="C39" s="84">
        <v>0.035</v>
      </c>
      <c r="D39" s="76"/>
      <c r="E39" s="225" t="s">
        <v>338</v>
      </c>
    </row>
    <row r="40" spans="2:5" s="78" customFormat="1" ht="47.25">
      <c r="B40" s="37" t="s">
        <v>105</v>
      </c>
      <c r="C40" s="85">
        <v>0.0175</v>
      </c>
      <c r="D40" s="76"/>
      <c r="E40" s="225" t="s">
        <v>106</v>
      </c>
    </row>
    <row r="41" spans="2:9" s="78" customFormat="1" ht="47.25">
      <c r="B41" s="37" t="s">
        <v>107</v>
      </c>
      <c r="C41" s="85">
        <v>0.0085</v>
      </c>
      <c r="D41" s="76"/>
      <c r="E41" s="225" t="s">
        <v>108</v>
      </c>
      <c r="I41" s="81"/>
    </row>
    <row r="42" spans="2:9" s="78" customFormat="1" ht="47.25">
      <c r="B42" s="37" t="s">
        <v>109</v>
      </c>
      <c r="C42" s="85">
        <v>0.008</v>
      </c>
      <c r="D42" s="76"/>
      <c r="E42" s="225" t="s">
        <v>110</v>
      </c>
      <c r="I42" s="81"/>
    </row>
    <row r="43" spans="2:9" s="78" customFormat="1" ht="15.75">
      <c r="B43" s="37" t="s">
        <v>111</v>
      </c>
      <c r="C43" s="85">
        <v>0.05</v>
      </c>
      <c r="D43" s="76"/>
      <c r="E43" s="225"/>
      <c r="I43" s="81"/>
    </row>
    <row r="44" spans="2:9" s="78" customFormat="1" ht="15.75">
      <c r="B44" s="37" t="s">
        <v>112</v>
      </c>
      <c r="C44" s="85">
        <v>0.2</v>
      </c>
      <c r="D44" s="76"/>
      <c r="E44" s="225"/>
      <c r="I44" s="81"/>
    </row>
    <row r="45" spans="2:5" s="78" customFormat="1" ht="31.5">
      <c r="B45" s="37" t="s">
        <v>113</v>
      </c>
      <c r="C45" s="86">
        <v>0.004</v>
      </c>
      <c r="D45" s="76"/>
      <c r="E45" s="225" t="s">
        <v>114</v>
      </c>
    </row>
    <row r="46" spans="2:5" s="78" customFormat="1" ht="31.5">
      <c r="B46" s="37" t="s">
        <v>117</v>
      </c>
      <c r="C46" s="92">
        <v>0.025</v>
      </c>
      <c r="D46" s="76"/>
      <c r="E46" s="225" t="s">
        <v>321</v>
      </c>
    </row>
    <row r="47" spans="2:5" s="78" customFormat="1" ht="15.75">
      <c r="B47" s="37"/>
      <c r="C47" s="87"/>
      <c r="D47" s="76"/>
      <c r="E47" s="225"/>
    </row>
    <row r="48" spans="2:5" s="78" customFormat="1" ht="31.5">
      <c r="B48" s="37" t="s">
        <v>115</v>
      </c>
      <c r="C48" s="88">
        <v>1</v>
      </c>
      <c r="D48" s="76"/>
      <c r="E48" s="225" t="s">
        <v>334</v>
      </c>
    </row>
    <row r="49" spans="2:8" s="78" customFormat="1" ht="30.75">
      <c r="B49" s="114" t="s">
        <v>116</v>
      </c>
      <c r="C49" s="191" t="s">
        <v>6</v>
      </c>
      <c r="D49" s="76"/>
      <c r="E49" s="225" t="s">
        <v>335</v>
      </c>
      <c r="F49" s="111"/>
      <c r="G49" s="112"/>
      <c r="H49" s="91"/>
    </row>
    <row r="50" spans="2:5" s="78" customFormat="1" ht="15.75">
      <c r="B50" s="37"/>
      <c r="C50" s="88"/>
      <c r="D50" s="76"/>
      <c r="E50" s="225"/>
    </row>
    <row r="51" spans="2:5" s="78" customFormat="1" ht="15.75">
      <c r="B51" s="37" t="s">
        <v>145</v>
      </c>
      <c r="C51" s="88"/>
      <c r="D51" s="76"/>
      <c r="E51" s="225"/>
    </row>
    <row r="52" spans="2:8" s="78" customFormat="1" ht="15.75">
      <c r="B52" s="119" t="s">
        <v>131</v>
      </c>
      <c r="C52" s="116">
        <f>Assumptions!C74*Assumptions!$C$9</f>
        <v>342.34210526315775</v>
      </c>
      <c r="D52" s="76"/>
      <c r="E52" s="225" t="s">
        <v>119</v>
      </c>
      <c r="H52" s="81"/>
    </row>
    <row r="53" spans="2:5" s="78" customFormat="1" ht="15.75">
      <c r="B53" s="119" t="s">
        <v>132</v>
      </c>
      <c r="C53" s="116">
        <f>Assumptions!C75*Assumptions!$C$9</f>
        <v>500.0807873090483</v>
      </c>
      <c r="D53" s="76"/>
      <c r="E53" s="225" t="s">
        <v>119</v>
      </c>
    </row>
    <row r="54" spans="2:5" s="78" customFormat="1" ht="15.75">
      <c r="B54" s="119" t="s">
        <v>133</v>
      </c>
      <c r="C54" s="116">
        <f>Assumptions!C76*Assumptions!$C$9</f>
        <v>739.2967741935488</v>
      </c>
      <c r="D54" s="76"/>
      <c r="E54" s="225" t="s">
        <v>119</v>
      </c>
    </row>
    <row r="55" spans="2:5" s="78" customFormat="1" ht="15.75">
      <c r="B55" s="119" t="s">
        <v>134</v>
      </c>
      <c r="C55" s="116">
        <f>Assumptions!C77*Assumptions!$C$9</f>
        <v>1001.8358490566025</v>
      </c>
      <c r="D55" s="76"/>
      <c r="E55" s="225" t="s">
        <v>119</v>
      </c>
    </row>
    <row r="56" spans="2:5" s="78" customFormat="1" ht="15.75">
      <c r="B56" s="37"/>
      <c r="C56" s="93"/>
      <c r="D56" s="76"/>
      <c r="E56" s="225"/>
    </row>
    <row r="57" spans="2:5" s="78" customFormat="1" ht="15.75">
      <c r="B57" s="37" t="s">
        <v>130</v>
      </c>
      <c r="C57" s="93"/>
      <c r="D57" s="76"/>
      <c r="E57" s="225"/>
    </row>
    <row r="58" spans="2:5" s="78" customFormat="1" ht="15.75">
      <c r="B58" s="119" t="s">
        <v>131</v>
      </c>
      <c r="C58" s="97">
        <f>Assumptions!C74*Assumptions!$C$8</f>
        <v>205405.26315789463</v>
      </c>
      <c r="D58" s="76"/>
      <c r="E58" s="225" t="s">
        <v>120</v>
      </c>
    </row>
    <row r="59" spans="2:5" s="78" customFormat="1" ht="15.75">
      <c r="B59" s="119" t="s">
        <v>132</v>
      </c>
      <c r="C59" s="97">
        <f>Assumptions!C75*Assumptions!$C$8</f>
        <v>300048.47238542896</v>
      </c>
      <c r="D59" s="76"/>
      <c r="E59" s="225" t="s">
        <v>120</v>
      </c>
    </row>
    <row r="60" spans="2:5" s="78" customFormat="1" ht="15.75">
      <c r="B60" s="119" t="s">
        <v>133</v>
      </c>
      <c r="C60" s="97">
        <f>Assumptions!C76*Assumptions!$C$8</f>
        <v>443578.06451612926</v>
      </c>
      <c r="D60" s="76"/>
      <c r="E60" s="225" t="s">
        <v>120</v>
      </c>
    </row>
    <row r="61" spans="2:5" s="78" customFormat="1" ht="15.75">
      <c r="B61" s="119" t="s">
        <v>134</v>
      </c>
      <c r="C61" s="97">
        <f>Assumptions!C77*Assumptions!$C$8</f>
        <v>601101.5094339615</v>
      </c>
      <c r="D61" s="76"/>
      <c r="E61" s="225" t="s">
        <v>120</v>
      </c>
    </row>
    <row r="62" spans="2:5" s="78" customFormat="1" ht="15.75">
      <c r="B62" s="124" t="s">
        <v>151</v>
      </c>
      <c r="C62" s="97">
        <f>SUMPRODUCT(C58:C61,Assumptions!C69:C72)</f>
        <v>365168.11194364016</v>
      </c>
      <c r="D62" s="76"/>
      <c r="E62" s="225"/>
    </row>
    <row r="63" spans="2:5" s="78" customFormat="1" ht="15.75">
      <c r="B63" s="37"/>
      <c r="C63" s="89"/>
      <c r="D63" s="76"/>
      <c r="E63" s="225"/>
    </row>
    <row r="64" spans="2:5" s="78" customFormat="1" ht="15.75">
      <c r="B64" s="37" t="s">
        <v>146</v>
      </c>
      <c r="C64" s="89"/>
      <c r="D64" s="76"/>
      <c r="E64" s="225"/>
    </row>
    <row r="65" spans="2:5" s="78" customFormat="1" ht="30.75">
      <c r="B65" s="114" t="s">
        <v>140</v>
      </c>
      <c r="C65" s="98">
        <v>0.5</v>
      </c>
      <c r="D65" s="76"/>
      <c r="E65" s="225" t="s">
        <v>142</v>
      </c>
    </row>
    <row r="66" spans="2:5" s="78" customFormat="1" ht="15.75">
      <c r="B66" s="119" t="s">
        <v>131</v>
      </c>
      <c r="C66" s="97">
        <f>C58*$C$65</f>
        <v>102702.63157894732</v>
      </c>
      <c r="D66" s="76"/>
      <c r="E66" s="225" t="s">
        <v>121</v>
      </c>
    </row>
    <row r="67" spans="2:5" s="78" customFormat="1" ht="15.75">
      <c r="B67" s="119" t="s">
        <v>132</v>
      </c>
      <c r="C67" s="97">
        <f>C59*$C$65</f>
        <v>150024.23619271448</v>
      </c>
      <c r="D67" s="76"/>
      <c r="E67" s="225" t="s">
        <v>121</v>
      </c>
    </row>
    <row r="68" spans="2:5" s="78" customFormat="1" ht="15.75">
      <c r="B68" s="119" t="s">
        <v>133</v>
      </c>
      <c r="C68" s="97">
        <f>C60*$C$65</f>
        <v>221789.03225806463</v>
      </c>
      <c r="D68" s="76"/>
      <c r="E68" s="225" t="s">
        <v>121</v>
      </c>
    </row>
    <row r="69" spans="2:5" s="78" customFormat="1" ht="15.75">
      <c r="B69" s="119" t="s">
        <v>134</v>
      </c>
      <c r="C69" s="97">
        <f>C61*$C$65</f>
        <v>300550.75471698074</v>
      </c>
      <c r="D69" s="76"/>
      <c r="E69" s="225" t="s">
        <v>121</v>
      </c>
    </row>
    <row r="70" spans="2:15" s="78" customFormat="1" ht="15.75">
      <c r="B70" s="79"/>
      <c r="C70" s="99"/>
      <c r="D70" s="76"/>
      <c r="E70" s="227"/>
      <c r="M70" s="77"/>
      <c r="O70" s="77"/>
    </row>
    <row r="71" spans="2:14" s="110" customFormat="1" ht="75">
      <c r="B71" s="120" t="s">
        <v>328</v>
      </c>
      <c r="C71" s="241" t="s">
        <v>122</v>
      </c>
      <c r="D71" s="241" t="s">
        <v>123</v>
      </c>
      <c r="E71" s="241" t="s">
        <v>124</v>
      </c>
      <c r="F71" s="241" t="s">
        <v>125</v>
      </c>
      <c r="G71" s="241" t="s">
        <v>126</v>
      </c>
      <c r="H71" s="241" t="s">
        <v>127</v>
      </c>
      <c r="I71" s="241" t="s">
        <v>128</v>
      </c>
      <c r="J71" s="241" t="s">
        <v>129</v>
      </c>
      <c r="K71" s="241" t="s">
        <v>182</v>
      </c>
      <c r="L71" s="242" t="s">
        <v>130</v>
      </c>
      <c r="M71" s="241" t="s">
        <v>183</v>
      </c>
      <c r="N71" s="241" t="s">
        <v>324</v>
      </c>
    </row>
    <row r="72" spans="2:14" s="78" customFormat="1" ht="15.75">
      <c r="B72" s="119" t="s">
        <v>131</v>
      </c>
      <c r="C72" s="228">
        <f>$C$36*C11/12*Assumptions!$C$21</f>
        <v>1330</v>
      </c>
      <c r="D72" s="100">
        <f>IF($C$49="Yes",MIN(C72*$C$48,MIN($C$52:$C$55),C52),MIN(C72*$C$48,C52))</f>
        <v>342.34210526315775</v>
      </c>
      <c r="E72" s="101">
        <f>C72-D72-C66*$C$46/12</f>
        <v>773.6940789473687</v>
      </c>
      <c r="F72" s="102">
        <f>IF($C$39&lt;=$C$43,$C$42*I72/12,IF($C$39&lt;$C$44,$C$41*I72/12,0))</f>
        <v>84.3538846184608</v>
      </c>
      <c r="G72" s="102">
        <f>E72-F72-H72</f>
        <v>48.22708188508693</v>
      </c>
      <c r="H72" s="101">
        <f>-PMT($C$37/12,$C$38*12,I72)</f>
        <v>641.1131124438209</v>
      </c>
      <c r="I72" s="103">
        <f>E72/(($C$37/12/(1-POWER((1+$C$37/12),(-$C$38*12))))+(IF($C$39&lt;$C$43,$C$41/12,IF($C$39&lt;$C$44,$C$42/12,0)))+(($C$45/12)/(IF($C$39&lt;$C$44,1+$C$40,1))/(1-$C$39)))</f>
        <v>126530.82692769119</v>
      </c>
      <c r="J72" s="103">
        <f>I72/(IF($C$39&lt;0.2,1+$C$40,1))/(1-$C$39)</f>
        <v>128864.89228928078</v>
      </c>
      <c r="K72" s="105">
        <f>C11*$C$27*Assumptions!$C$21</f>
        <v>136800</v>
      </c>
      <c r="L72" s="105">
        <f>C58</f>
        <v>205405.26315789463</v>
      </c>
      <c r="M72" s="103">
        <f>IF($C$35="Yes",MIN(J72,K72,L72),MIN(K72,L72))</f>
        <v>128864.89228928078</v>
      </c>
      <c r="N72" s="103">
        <f>IF($C$35="Yes",MIN(J72,K72),K72)</f>
        <v>128864.89228928078</v>
      </c>
    </row>
    <row r="73" spans="2:14" s="78" customFormat="1" ht="15.75">
      <c r="B73" s="119" t="s">
        <v>132</v>
      </c>
      <c r="C73" s="228">
        <f>$C$36*C12/12*Assumptions!$C$21</f>
        <v>1330</v>
      </c>
      <c r="D73" s="100">
        <f>IF($C$49="Yes",MIN(C73*$C$48,MIN($C$52:$C$55),C53),MIN(C73*$C$48,C53))</f>
        <v>500.0807873090483</v>
      </c>
      <c r="E73" s="101">
        <f>C73-D73-C67*$C$46/12</f>
        <v>517.3687206227967</v>
      </c>
      <c r="F73" s="102">
        <f>IF($C$39&lt;=$C$43,$C$42*I73/12,IF($C$39&lt;$C$44,$C$41*I73/12,0))</f>
        <v>56.40738704371662</v>
      </c>
      <c r="G73" s="102">
        <f>E73-F73-H73</f>
        <v>32.24941786837121</v>
      </c>
      <c r="H73" s="101">
        <f>-PMT($C$37/12,$C$38*12,I73)</f>
        <v>428.71191571070887</v>
      </c>
      <c r="I73" s="103">
        <f>E73/(($C$37/12/(1-POWER((1+$C$37/12),(-$C$38*12))))+(IF($C$39&lt;$C$43,$C$41/12,IF($C$39&lt;$C$44,$C$42/12,0)))+(($C$45/12)/(IF($C$39&lt;$C$44,1+$C$40,1))/(1-$C$39)))</f>
        <v>84611.08056557493</v>
      </c>
      <c r="J73" s="103">
        <f>I73/(IF($C$39&lt;0.2,1+$C$40,1))/(1-$C$39)</f>
        <v>86171.86853440432</v>
      </c>
      <c r="K73" s="105">
        <f>C12*$C$27*Assumptions!$C$21</f>
        <v>136800</v>
      </c>
      <c r="L73" s="105">
        <f>C59</f>
        <v>300048.47238542896</v>
      </c>
      <c r="M73" s="103">
        <f>IF($C$35="Yes",MIN(J73,K73,L73),MIN(K73,L73))</f>
        <v>86171.86853440432</v>
      </c>
      <c r="N73" s="103">
        <f>IF($C$35="Yes",MIN(J73,K73),K73)</f>
        <v>86171.86853440432</v>
      </c>
    </row>
    <row r="74" spans="2:14" s="78" customFormat="1" ht="15.75">
      <c r="B74" s="119" t="s">
        <v>133</v>
      </c>
      <c r="C74" s="228">
        <f>$C$36*C13/12*Assumptions!$C$21</f>
        <v>1519</v>
      </c>
      <c r="D74" s="100">
        <f>IF($C$49="Yes",MIN(C74*$C$48,MIN($C$52:$C$55),C54),MIN(C74*$C$48,C54))</f>
        <v>739.2967741935488</v>
      </c>
      <c r="E74" s="101">
        <f>C74-D74-C68*$C$46/12</f>
        <v>317.6427419354832</v>
      </c>
      <c r="F74" s="102">
        <f>IF($C$39&lt;=$C$43,$C$42*I74/12,IF($C$39&lt;$C$44,$C$41*I74/12,0))</f>
        <v>34.6317749252673</v>
      </c>
      <c r="G74" s="102">
        <f>E74-F74-H74</f>
        <v>19.79979289277742</v>
      </c>
      <c r="H74" s="101">
        <f>-PMT($C$37/12,$C$38*12,I74)</f>
        <v>263.2111741174385</v>
      </c>
      <c r="I74" s="103">
        <f>E74/(($C$37/12/(1-POWER((1+$C$37/12),(-$C$38*12))))+(IF($C$39&lt;$C$43,$C$41/12,IF($C$39&lt;$C$44,$C$42/12,0)))+(($C$45/12)/(IF($C$39&lt;$C$44,1+$C$40,1))/(1-$C$39)))</f>
        <v>51947.66238790096</v>
      </c>
      <c r="J74" s="103">
        <f>I74/(IF($C$39&lt;0.2,1+$C$40,1))/(1-$C$39)</f>
        <v>52905.920879837</v>
      </c>
      <c r="K74" s="105">
        <f>C13*$C$27*Assumptions!$C$21</f>
        <v>156240</v>
      </c>
      <c r="L74" s="105">
        <f>C60</f>
        <v>443578.06451612926</v>
      </c>
      <c r="M74" s="103">
        <f>IF($C$35="Yes",MIN(J74,K74,L74),MIN(K74,L74))</f>
        <v>52905.920879837</v>
      </c>
      <c r="N74" s="103">
        <f>IF($C$35="Yes",MIN(J74,K74),K74)</f>
        <v>52905.920879837</v>
      </c>
    </row>
    <row r="75" spans="2:14" s="78" customFormat="1" ht="15.75">
      <c r="B75" s="119" t="s">
        <v>134</v>
      </c>
      <c r="C75" s="228">
        <f>$C$36*C14/12*Assumptions!$C$21</f>
        <v>1709.166666666667</v>
      </c>
      <c r="D75" s="100">
        <f>IF($C$49="Yes",MIN(C75*$C$48,MIN($C$52:$C$55),C55),MIN(C75*$C$48,C55))</f>
        <v>1001.8358490566025</v>
      </c>
      <c r="E75" s="101">
        <f>C75-D75-C69*$C$46/12</f>
        <v>81.18341194968798</v>
      </c>
      <c r="F75" s="102">
        <f>IF($C$39&lt;=$C$43,$C$42*I75/12,IF($C$39&lt;$C$44,$C$41*I75/12,0))</f>
        <v>8.851219559356098</v>
      </c>
      <c r="G75" s="102">
        <f>E75-F75-H75</f>
        <v>5.060448518793294</v>
      </c>
      <c r="H75" s="101">
        <f>-PMT($C$37/12,$C$38*12,I75)</f>
        <v>67.27174387153859</v>
      </c>
      <c r="I75" s="103">
        <f>E75/(($C$37/12/(1-POWER((1+$C$37/12),(-$C$38*12))))+(IF($C$39&lt;$C$43,$C$41/12,IF($C$39&lt;$C$44,$C$42/12,0)))+(($C$45/12)/(IF($C$39&lt;$C$44,1+$C$40,1))/(1-$C$39)))</f>
        <v>13276.829339034148</v>
      </c>
      <c r="J75" s="103">
        <f>I75/(IF($C$39&lt;0.2,1+$C$40,1))/(1-$C$39)</f>
        <v>13521.741888998635</v>
      </c>
      <c r="K75" s="105">
        <f>C14*$C$27*Assumptions!$C$21</f>
        <v>175800</v>
      </c>
      <c r="L75" s="105">
        <f>C61</f>
        <v>601101.5094339615</v>
      </c>
      <c r="M75" s="103">
        <f>IF($C$35="Yes",MIN(J75,K75,L75),MIN(K75,L75))</f>
        <v>13521.741888998635</v>
      </c>
      <c r="N75" s="103">
        <f>IF($C$35="Yes",MIN(J75,K75),K75)</f>
        <v>13521.741888998635</v>
      </c>
    </row>
    <row r="76" spans="3:14" s="78" customFormat="1" ht="15.75">
      <c r="C76" s="228"/>
      <c r="D76" s="100"/>
      <c r="E76" s="101"/>
      <c r="F76" s="102"/>
      <c r="G76" s="102"/>
      <c r="H76" s="101"/>
      <c r="I76" s="103"/>
      <c r="J76" s="103"/>
      <c r="K76" s="104"/>
      <c r="L76" s="105"/>
      <c r="M76" s="103"/>
      <c r="N76" s="103">
        <f>SUMPRODUCT(N72:N75,Assumptions!C69:C72)</f>
        <v>71807.55918453052</v>
      </c>
    </row>
    <row r="77" spans="1:38" s="28" customFormat="1" ht="30.75">
      <c r="A77" s="96"/>
      <c r="B77" s="113" t="s">
        <v>377</v>
      </c>
      <c r="C77" s="95"/>
      <c r="D77" s="95"/>
      <c r="E77" s="229"/>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row>
    <row r="78" spans="2:7" s="28" customFormat="1" ht="15.75">
      <c r="B78" s="119" t="s">
        <v>131</v>
      </c>
      <c r="C78" s="115">
        <f>N72</f>
        <v>128864.89228928078</v>
      </c>
      <c r="D78" s="79"/>
      <c r="E78" s="224" t="s">
        <v>93</v>
      </c>
      <c r="F78" s="79"/>
      <c r="G78" s="79"/>
    </row>
    <row r="79" spans="2:7" s="28" customFormat="1" ht="15.75">
      <c r="B79" s="119" t="s">
        <v>132</v>
      </c>
      <c r="C79" s="115">
        <f>N73</f>
        <v>86171.86853440432</v>
      </c>
      <c r="D79" s="100"/>
      <c r="E79" s="224" t="s">
        <v>93</v>
      </c>
      <c r="F79" s="100"/>
      <c r="G79" s="100"/>
    </row>
    <row r="80" spans="2:7" s="28" customFormat="1" ht="15.75">
      <c r="B80" s="119" t="s">
        <v>133</v>
      </c>
      <c r="C80" s="115">
        <f>N74</f>
        <v>52905.920879837</v>
      </c>
      <c r="D80" s="100"/>
      <c r="E80" s="224" t="s">
        <v>93</v>
      </c>
      <c r="F80" s="100"/>
      <c r="G80" s="100"/>
    </row>
    <row r="81" spans="2:7" s="28" customFormat="1" ht="15.75">
      <c r="B81" s="119" t="s">
        <v>134</v>
      </c>
      <c r="C81" s="115">
        <f>N75</f>
        <v>13521.741888998635</v>
      </c>
      <c r="D81" s="101"/>
      <c r="E81" s="224" t="s">
        <v>93</v>
      </c>
      <c r="F81" s="101"/>
      <c r="G81" s="101"/>
    </row>
    <row r="82" spans="2:7" s="28" customFormat="1" ht="15.75">
      <c r="B82" s="37" t="s">
        <v>378</v>
      </c>
      <c r="C82" s="115">
        <f>N76</f>
        <v>71807.55918453052</v>
      </c>
      <c r="D82" s="102"/>
      <c r="E82" s="224" t="s">
        <v>379</v>
      </c>
      <c r="F82" s="102"/>
      <c r="G82" s="102"/>
    </row>
    <row r="83" s="28" customFormat="1" ht="15.75">
      <c r="E83" s="223"/>
    </row>
    <row r="84" s="28" customFormat="1" ht="15.75">
      <c r="E84" s="223"/>
    </row>
    <row r="85" spans="1:25" s="48" customFormat="1" ht="15.75">
      <c r="A85" s="48" t="s">
        <v>261</v>
      </c>
      <c r="C85" s="238"/>
      <c r="D85" s="238"/>
      <c r="E85" s="239"/>
      <c r="F85" s="240"/>
      <c r="G85" s="240"/>
      <c r="H85" s="240"/>
      <c r="I85" s="240"/>
      <c r="J85" s="240"/>
      <c r="K85" s="240"/>
      <c r="L85" s="240"/>
      <c r="M85" s="240"/>
      <c r="P85" s="240"/>
      <c r="Q85" s="240"/>
      <c r="R85" s="240"/>
      <c r="S85" s="240"/>
      <c r="T85" s="240"/>
      <c r="U85" s="240"/>
      <c r="V85" s="240"/>
      <c r="W85" s="240"/>
      <c r="X85" s="240"/>
      <c r="Y85" s="240"/>
    </row>
    <row r="86" spans="2:25" s="130" customFormat="1" ht="15.75">
      <c r="B86" s="64" t="s">
        <v>336</v>
      </c>
      <c r="C86" s="154"/>
      <c r="D86" s="154"/>
      <c r="E86" s="230"/>
      <c r="F86" s="133"/>
      <c r="G86" s="133"/>
      <c r="H86" s="133"/>
      <c r="I86" s="133"/>
      <c r="J86" s="133"/>
      <c r="K86" s="133"/>
      <c r="L86" s="133"/>
      <c r="M86" s="133"/>
      <c r="P86" s="133"/>
      <c r="Q86" s="133"/>
      <c r="R86" s="133"/>
      <c r="S86" s="133"/>
      <c r="T86" s="133"/>
      <c r="U86" s="133"/>
      <c r="V86" s="133"/>
      <c r="W86" s="133"/>
      <c r="X86" s="133"/>
      <c r="Y86" s="133"/>
    </row>
    <row r="87" spans="1:25" s="174" customFormat="1" ht="15.75">
      <c r="A87" s="130"/>
      <c r="B87" s="176" t="s">
        <v>262</v>
      </c>
      <c r="C87" s="152"/>
      <c r="D87" s="152"/>
      <c r="E87" s="231"/>
      <c r="F87" s="175"/>
      <c r="G87" s="175"/>
      <c r="H87" s="175"/>
      <c r="I87" s="175"/>
      <c r="J87" s="175"/>
      <c r="K87" s="175"/>
      <c r="L87" s="175"/>
      <c r="M87" s="175"/>
      <c r="P87" s="175"/>
      <c r="Q87" s="175"/>
      <c r="R87" s="175"/>
      <c r="S87" s="175"/>
      <c r="T87" s="175"/>
      <c r="U87" s="175"/>
      <c r="V87" s="175"/>
      <c r="W87" s="175"/>
      <c r="X87" s="175"/>
      <c r="Y87" s="175"/>
    </row>
    <row r="88" spans="1:25" s="174" customFormat="1" ht="15.75">
      <c r="A88" s="130"/>
      <c r="B88" s="63" t="s">
        <v>263</v>
      </c>
      <c r="C88" s="177">
        <f>Assumptions!$C$7*Assumptions!$C$78</f>
        <v>2231.5829063222454</v>
      </c>
      <c r="D88" s="38"/>
      <c r="E88" s="224" t="s">
        <v>93</v>
      </c>
      <c r="F88" s="38"/>
      <c r="G88" s="38"/>
      <c r="H88" s="38"/>
      <c r="I88" s="38"/>
      <c r="J88" s="38"/>
      <c r="K88" s="38"/>
      <c r="L88" s="38"/>
      <c r="M88" s="38"/>
      <c r="N88" s="38"/>
      <c r="O88" s="38"/>
      <c r="P88" s="38"/>
      <c r="Q88" s="38"/>
      <c r="R88" s="38"/>
      <c r="S88" s="38"/>
      <c r="T88" s="38"/>
      <c r="U88" s="175"/>
      <c r="V88" s="175"/>
      <c r="W88" s="175"/>
      <c r="X88" s="175"/>
      <c r="Y88" s="175"/>
    </row>
    <row r="89" spans="1:25" s="174" customFormat="1" ht="15.75">
      <c r="A89" s="130"/>
      <c r="B89" s="63" t="s">
        <v>264</v>
      </c>
      <c r="C89" s="245">
        <f>$C$88*Assumptions!$C$50</f>
        <v>669.4748718966736</v>
      </c>
      <c r="D89" s="38"/>
      <c r="E89" s="224" t="s">
        <v>93</v>
      </c>
      <c r="F89" s="38"/>
      <c r="G89" s="38"/>
      <c r="H89" s="38"/>
      <c r="I89" s="38"/>
      <c r="J89" s="38"/>
      <c r="K89" s="38"/>
      <c r="L89" s="38"/>
      <c r="M89" s="38"/>
      <c r="N89" s="38"/>
      <c r="O89" s="38"/>
      <c r="P89" s="38"/>
      <c r="Q89" s="38"/>
      <c r="R89" s="38"/>
      <c r="S89" s="38"/>
      <c r="T89" s="38"/>
      <c r="U89" s="175"/>
      <c r="V89" s="175"/>
      <c r="W89" s="175"/>
      <c r="X89" s="175"/>
      <c r="Y89" s="175"/>
    </row>
    <row r="90" spans="1:25" s="174" customFormat="1" ht="15.75">
      <c r="A90" s="130"/>
      <c r="B90" s="63" t="s">
        <v>266</v>
      </c>
      <c r="C90" s="177">
        <f>C88*Assumptions!$C$6</f>
        <v>133.8949743793347</v>
      </c>
      <c r="D90" s="38"/>
      <c r="E90" s="224" t="s">
        <v>93</v>
      </c>
      <c r="F90" s="38"/>
      <c r="G90" s="38"/>
      <c r="H90" s="38"/>
      <c r="I90" s="38"/>
      <c r="J90" s="38"/>
      <c r="K90" s="38"/>
      <c r="L90" s="38"/>
      <c r="M90" s="38"/>
      <c r="N90" s="38"/>
      <c r="O90" s="38"/>
      <c r="P90" s="38"/>
      <c r="Q90" s="38"/>
      <c r="R90" s="38"/>
      <c r="S90" s="38"/>
      <c r="T90" s="38"/>
      <c r="U90" s="175"/>
      <c r="V90" s="175"/>
      <c r="W90" s="175"/>
      <c r="X90" s="175"/>
      <c r="Y90" s="175"/>
    </row>
    <row r="91" spans="1:25" s="174" customFormat="1" ht="15.75">
      <c r="A91" s="130"/>
      <c r="B91" s="262" t="s">
        <v>380</v>
      </c>
      <c r="C91" s="177">
        <f>C88-C89-C90</f>
        <v>1428.2130600462374</v>
      </c>
      <c r="D91" s="38"/>
      <c r="E91" s="224" t="s">
        <v>93</v>
      </c>
      <c r="F91" s="38"/>
      <c r="G91" s="38"/>
      <c r="H91" s="38"/>
      <c r="I91" s="38"/>
      <c r="J91" s="38"/>
      <c r="K91" s="38"/>
      <c r="L91" s="38"/>
      <c r="M91" s="38"/>
      <c r="N91" s="38"/>
      <c r="O91" s="38"/>
      <c r="P91" s="38"/>
      <c r="Q91" s="38"/>
      <c r="R91" s="38"/>
      <c r="S91" s="38"/>
      <c r="T91" s="38"/>
      <c r="U91" s="175"/>
      <c r="V91" s="175"/>
      <c r="W91" s="175"/>
      <c r="X91" s="175"/>
      <c r="Y91" s="175"/>
    </row>
    <row r="92" spans="1:25" s="174" customFormat="1" ht="15.75">
      <c r="A92" s="130"/>
      <c r="B92" s="260" t="s">
        <v>348</v>
      </c>
      <c r="C92" s="177">
        <f>(Affordability!$C$91*12)/Assumptions!$C$61</f>
        <v>342771.134411097</v>
      </c>
      <c r="D92" s="38"/>
      <c r="E92" s="224" t="s">
        <v>93</v>
      </c>
      <c r="F92" s="38"/>
      <c r="G92" s="38"/>
      <c r="H92" s="38"/>
      <c r="I92" s="38"/>
      <c r="J92" s="38"/>
      <c r="K92" s="38"/>
      <c r="L92" s="38"/>
      <c r="M92" s="38"/>
      <c r="N92" s="38"/>
      <c r="O92" s="38"/>
      <c r="P92" s="38"/>
      <c r="Q92" s="38"/>
      <c r="R92" s="38"/>
      <c r="S92" s="38"/>
      <c r="T92" s="38"/>
      <c r="U92" s="175"/>
      <c r="V92" s="175"/>
      <c r="W92" s="175"/>
      <c r="X92" s="175"/>
      <c r="Y92" s="175"/>
    </row>
    <row r="93" spans="1:25" s="174" customFormat="1" ht="15.75">
      <c r="A93" s="130"/>
      <c r="B93" s="259"/>
      <c r="C93" s="177"/>
      <c r="D93" s="38"/>
      <c r="E93" s="224"/>
      <c r="F93" s="38"/>
      <c r="G93" s="38"/>
      <c r="H93" s="38"/>
      <c r="I93" s="38"/>
      <c r="J93" s="38"/>
      <c r="K93" s="38"/>
      <c r="L93" s="38"/>
      <c r="M93" s="38"/>
      <c r="N93" s="38"/>
      <c r="O93" s="38"/>
      <c r="P93" s="38"/>
      <c r="Q93" s="38"/>
      <c r="R93" s="38"/>
      <c r="S93" s="38"/>
      <c r="T93" s="38"/>
      <c r="U93" s="175"/>
      <c r="V93" s="175"/>
      <c r="W93" s="175"/>
      <c r="X93" s="175"/>
      <c r="Y93" s="175"/>
    </row>
    <row r="94" spans="1:25" s="174" customFormat="1" ht="15.75">
      <c r="A94" s="130"/>
      <c r="B94" s="261" t="s">
        <v>265</v>
      </c>
      <c r="C94" s="177"/>
      <c r="D94" s="38"/>
      <c r="E94" s="224"/>
      <c r="F94" s="38"/>
      <c r="G94" s="38"/>
      <c r="H94" s="38"/>
      <c r="I94" s="38"/>
      <c r="J94" s="38"/>
      <c r="K94" s="38"/>
      <c r="L94" s="38"/>
      <c r="M94" s="38"/>
      <c r="N94" s="38"/>
      <c r="O94" s="38"/>
      <c r="P94" s="38"/>
      <c r="Q94" s="38"/>
      <c r="R94" s="38"/>
      <c r="S94" s="38"/>
      <c r="T94" s="38"/>
      <c r="U94" s="175"/>
      <c r="V94" s="175"/>
      <c r="W94" s="175"/>
      <c r="X94" s="175"/>
      <c r="Y94" s="175"/>
    </row>
    <row r="95" spans="1:25" s="174" customFormat="1" ht="15.75">
      <c r="A95" s="130"/>
      <c r="B95" s="262" t="s">
        <v>263</v>
      </c>
      <c r="C95" s="177">
        <f>Affordability!$C$23</f>
        <v>912.936583074</v>
      </c>
      <c r="D95" s="38"/>
      <c r="E95" s="224" t="s">
        <v>93</v>
      </c>
      <c r="F95" s="38"/>
      <c r="G95" s="38"/>
      <c r="H95" s="38"/>
      <c r="I95" s="38"/>
      <c r="J95" s="38"/>
      <c r="K95" s="38"/>
      <c r="L95" s="38"/>
      <c r="M95" s="38"/>
      <c r="N95" s="38"/>
      <c r="O95" s="38"/>
      <c r="P95" s="38"/>
      <c r="Q95" s="38"/>
      <c r="R95" s="38"/>
      <c r="S95" s="38"/>
      <c r="T95" s="38"/>
      <c r="U95" s="175"/>
      <c r="V95" s="175"/>
      <c r="W95" s="175"/>
      <c r="X95" s="175"/>
      <c r="Y95" s="175"/>
    </row>
    <row r="96" spans="1:25" s="174" customFormat="1" ht="15.75">
      <c r="A96" s="130"/>
      <c r="B96" s="262" t="s">
        <v>264</v>
      </c>
      <c r="C96" s="177">
        <f>C89</f>
        <v>669.4748718966736</v>
      </c>
      <c r="D96" s="38"/>
      <c r="E96" s="224" t="s">
        <v>93</v>
      </c>
      <c r="F96" s="38"/>
      <c r="G96" s="38"/>
      <c r="H96" s="38"/>
      <c r="I96" s="38"/>
      <c r="J96" s="38"/>
      <c r="K96" s="38"/>
      <c r="L96" s="38"/>
      <c r="M96" s="38"/>
      <c r="N96" s="38"/>
      <c r="O96" s="38"/>
      <c r="P96" s="38"/>
      <c r="Q96" s="38"/>
      <c r="R96" s="38"/>
      <c r="S96" s="38"/>
      <c r="T96" s="38"/>
      <c r="U96" s="175"/>
      <c r="V96" s="175"/>
      <c r="W96" s="175"/>
      <c r="X96" s="175"/>
      <c r="Y96" s="175"/>
    </row>
    <row r="97" spans="1:25" s="174" customFormat="1" ht="15.75">
      <c r="A97" s="130"/>
      <c r="B97" s="262" t="s">
        <v>266</v>
      </c>
      <c r="C97" s="177">
        <f>C95*Assumptions!$C$23</f>
        <v>22.823414576850002</v>
      </c>
      <c r="D97" s="38"/>
      <c r="E97" s="224" t="s">
        <v>93</v>
      </c>
      <c r="F97" s="38"/>
      <c r="G97" s="38"/>
      <c r="H97" s="38"/>
      <c r="I97" s="38"/>
      <c r="J97" s="38"/>
      <c r="K97" s="38"/>
      <c r="L97" s="38"/>
      <c r="M97" s="38"/>
      <c r="N97" s="38"/>
      <c r="O97" s="38"/>
      <c r="P97" s="38"/>
      <c r="Q97" s="38"/>
      <c r="R97" s="38"/>
      <c r="S97" s="38"/>
      <c r="T97" s="38"/>
      <c r="U97" s="175"/>
      <c r="V97" s="175"/>
      <c r="W97" s="175"/>
      <c r="X97" s="175"/>
      <c r="Y97" s="175"/>
    </row>
    <row r="98" spans="1:25" s="174" customFormat="1" ht="15.75">
      <c r="A98" s="130"/>
      <c r="B98" s="262" t="s">
        <v>381</v>
      </c>
      <c r="C98" s="178">
        <f>C95-C96-C97</f>
        <v>220.63829660047648</v>
      </c>
      <c r="D98" s="152"/>
      <c r="E98" s="224" t="s">
        <v>93</v>
      </c>
      <c r="F98" s="175"/>
      <c r="G98" s="175"/>
      <c r="H98" s="175"/>
      <c r="I98" s="175"/>
      <c r="J98" s="175"/>
      <c r="K98" s="175"/>
      <c r="L98" s="175"/>
      <c r="M98" s="175"/>
      <c r="P98" s="175"/>
      <c r="Q98" s="175"/>
      <c r="R98" s="175"/>
      <c r="S98" s="175"/>
      <c r="T98" s="175"/>
      <c r="U98" s="175"/>
      <c r="V98" s="175"/>
      <c r="W98" s="175"/>
      <c r="X98" s="175"/>
      <c r="Y98" s="175"/>
    </row>
    <row r="99" spans="1:25" s="174" customFormat="1" ht="15.75">
      <c r="A99" s="130"/>
      <c r="B99" s="260" t="s">
        <v>347</v>
      </c>
      <c r="C99" s="178">
        <f>(Affordability!$C$98*12)/Assumptions!$C$61</f>
        <v>52953.19118411435</v>
      </c>
      <c r="D99" s="152"/>
      <c r="E99" s="224" t="s">
        <v>93</v>
      </c>
      <c r="F99" s="175"/>
      <c r="G99" s="175"/>
      <c r="H99" s="175"/>
      <c r="I99" s="175"/>
      <c r="J99" s="175"/>
      <c r="K99" s="175"/>
      <c r="L99" s="175"/>
      <c r="M99" s="175"/>
      <c r="P99" s="175"/>
      <c r="Q99" s="175"/>
      <c r="R99" s="175"/>
      <c r="S99" s="175"/>
      <c r="T99" s="175"/>
      <c r="U99" s="175"/>
      <c r="V99" s="175"/>
      <c r="W99" s="175"/>
      <c r="X99" s="175"/>
      <c r="Y99" s="175"/>
    </row>
    <row r="100" spans="1:25" s="174" customFormat="1" ht="15.75">
      <c r="A100" s="130"/>
      <c r="B100" s="38"/>
      <c r="C100" s="178"/>
      <c r="D100" s="152"/>
      <c r="E100" s="224"/>
      <c r="F100" s="175"/>
      <c r="G100" s="175"/>
      <c r="H100" s="175"/>
      <c r="I100" s="175"/>
      <c r="J100" s="175"/>
      <c r="K100" s="175"/>
      <c r="L100" s="175"/>
      <c r="M100" s="175"/>
      <c r="P100" s="175"/>
      <c r="Q100" s="175"/>
      <c r="R100" s="175"/>
      <c r="S100" s="175"/>
      <c r="T100" s="175"/>
      <c r="U100" s="175"/>
      <c r="V100" s="175"/>
      <c r="W100" s="175"/>
      <c r="X100" s="175"/>
      <c r="Y100" s="175"/>
    </row>
    <row r="101" spans="2:25" s="130" customFormat="1" ht="15.75">
      <c r="B101" s="64" t="s">
        <v>346</v>
      </c>
      <c r="C101" s="179"/>
      <c r="D101" s="154"/>
      <c r="E101" s="224"/>
      <c r="F101" s="133"/>
      <c r="G101" s="133"/>
      <c r="H101" s="133"/>
      <c r="I101" s="133"/>
      <c r="J101" s="133"/>
      <c r="K101" s="133"/>
      <c r="L101" s="133"/>
      <c r="M101" s="133"/>
      <c r="P101" s="133"/>
      <c r="Q101" s="133"/>
      <c r="R101" s="133"/>
      <c r="S101" s="133"/>
      <c r="T101" s="133"/>
      <c r="U101" s="133"/>
      <c r="V101" s="133"/>
      <c r="W101" s="133"/>
      <c r="X101" s="133"/>
      <c r="Y101" s="133"/>
    </row>
    <row r="102" spans="1:25" s="174" customFormat="1" ht="15.75">
      <c r="A102" s="130"/>
      <c r="B102" s="134" t="s">
        <v>344</v>
      </c>
      <c r="C102" s="178">
        <f>Affordability!C82</f>
        <v>71807.55918453052</v>
      </c>
      <c r="D102" s="152"/>
      <c r="E102" s="224" t="s">
        <v>93</v>
      </c>
      <c r="F102" s="175"/>
      <c r="G102" s="175"/>
      <c r="H102" s="175"/>
      <c r="I102" s="175"/>
      <c r="J102" s="175"/>
      <c r="K102" s="175"/>
      <c r="L102" s="175"/>
      <c r="M102" s="175"/>
      <c r="P102" s="175"/>
      <c r="Q102" s="175"/>
      <c r="R102" s="175"/>
      <c r="S102" s="175"/>
      <c r="T102" s="175"/>
      <c r="U102" s="175"/>
      <c r="V102" s="175"/>
      <c r="W102" s="175"/>
      <c r="X102" s="175"/>
      <c r="Y102" s="175"/>
    </row>
    <row r="103" spans="1:25" s="174" customFormat="1" ht="15.75">
      <c r="A103" s="130"/>
      <c r="B103" s="134" t="s">
        <v>345</v>
      </c>
      <c r="C103" s="177">
        <f>Affordability!C62</f>
        <v>365168.11194364016</v>
      </c>
      <c r="D103" s="38"/>
      <c r="E103" s="224" t="s">
        <v>93</v>
      </c>
      <c r="F103" s="38"/>
      <c r="G103" s="38"/>
      <c r="H103" s="38"/>
      <c r="I103" s="38"/>
      <c r="J103" s="38"/>
      <c r="K103" s="38"/>
      <c r="L103" s="38"/>
      <c r="M103" s="38"/>
      <c r="N103" s="38"/>
      <c r="O103" s="38"/>
      <c r="P103" s="38"/>
      <c r="Q103" s="38"/>
      <c r="R103" s="38"/>
      <c r="S103" s="38"/>
      <c r="T103" s="38"/>
      <c r="U103" s="175"/>
      <c r="V103" s="175"/>
      <c r="W103" s="175"/>
      <c r="X103" s="175"/>
      <c r="Y103" s="175"/>
    </row>
    <row r="104" spans="2:5" s="28" customFormat="1" ht="15.75">
      <c r="B104" s="134"/>
      <c r="E104" s="223"/>
    </row>
    <row r="105" s="28" customFormat="1" ht="15.75">
      <c r="E105" s="223"/>
    </row>
    <row r="106" s="28" customFormat="1" ht="15.75">
      <c r="E106" s="223"/>
    </row>
    <row r="107" s="28" customFormat="1" ht="15.75">
      <c r="E107" s="223"/>
    </row>
    <row r="108" s="28" customFormat="1" ht="15.75">
      <c r="E108" s="223"/>
    </row>
    <row r="109" s="28" customFormat="1" ht="15.75">
      <c r="E109" s="223"/>
    </row>
    <row r="110" s="28" customFormat="1" ht="15.75">
      <c r="E110" s="223"/>
    </row>
    <row r="111" s="28" customFormat="1" ht="15.75">
      <c r="E111" s="223"/>
    </row>
    <row r="112" s="28" customFormat="1" ht="15.75">
      <c r="E112" s="223"/>
    </row>
    <row r="113" s="28" customFormat="1" ht="15.75">
      <c r="E113" s="223"/>
    </row>
    <row r="114" s="28" customFormat="1" ht="15.75">
      <c r="E114" s="223"/>
    </row>
    <row r="115" s="28" customFormat="1" ht="15.75">
      <c r="E115" s="223"/>
    </row>
    <row r="116" s="28" customFormat="1" ht="15.75">
      <c r="E116" s="223"/>
    </row>
    <row r="117" s="28" customFormat="1" ht="15.75">
      <c r="E117" s="223"/>
    </row>
    <row r="118" s="28" customFormat="1" ht="15.75">
      <c r="E118" s="223"/>
    </row>
    <row r="119" s="28" customFormat="1" ht="15.75">
      <c r="E119" s="223"/>
    </row>
    <row r="120" s="28" customFormat="1" ht="15.75">
      <c r="E120" s="223"/>
    </row>
    <row r="121" s="28" customFormat="1" ht="15.75">
      <c r="E121" s="223"/>
    </row>
    <row r="122" s="28" customFormat="1" ht="15.75">
      <c r="E122" s="223"/>
    </row>
    <row r="123" s="28" customFormat="1" ht="15.75">
      <c r="E123" s="223"/>
    </row>
    <row r="124" s="28" customFormat="1" ht="15.75">
      <c r="E124" s="223"/>
    </row>
    <row r="125" s="28" customFormat="1" ht="15.75">
      <c r="E125" s="223"/>
    </row>
    <row r="126" s="28" customFormat="1" ht="15.75">
      <c r="E126" s="223"/>
    </row>
    <row r="127" s="28" customFormat="1" ht="15.75">
      <c r="E127" s="223"/>
    </row>
    <row r="128" s="28" customFormat="1" ht="15.75">
      <c r="E128" s="223"/>
    </row>
    <row r="129" s="28" customFormat="1" ht="15.75">
      <c r="E129" s="223"/>
    </row>
    <row r="130" s="28" customFormat="1" ht="15.75">
      <c r="E130" s="223"/>
    </row>
    <row r="131" s="28" customFormat="1" ht="15.75">
      <c r="E131" s="223"/>
    </row>
    <row r="132" s="28" customFormat="1" ht="15.75">
      <c r="E132" s="223"/>
    </row>
    <row r="133" s="28" customFormat="1" ht="15.75">
      <c r="E133" s="223"/>
    </row>
    <row r="134" s="28" customFormat="1" ht="15.75">
      <c r="E134" s="223"/>
    </row>
    <row r="135" s="28" customFormat="1" ht="15.75">
      <c r="E135" s="223"/>
    </row>
    <row r="136" s="28" customFormat="1" ht="15.75">
      <c r="E136" s="223"/>
    </row>
    <row r="137" s="28" customFormat="1" ht="15.75">
      <c r="E137" s="223"/>
    </row>
    <row r="138" s="28" customFormat="1" ht="15.75">
      <c r="E138" s="223"/>
    </row>
    <row r="139" s="28" customFormat="1" ht="15.75">
      <c r="E139" s="223"/>
    </row>
    <row r="140" s="28" customFormat="1" ht="15.75">
      <c r="E140" s="223"/>
    </row>
    <row r="141" s="28" customFormat="1" ht="15.75">
      <c r="E141" s="223"/>
    </row>
    <row r="142" s="28" customFormat="1" ht="15.75">
      <c r="E142" s="223"/>
    </row>
    <row r="143" s="28" customFormat="1" ht="15.75">
      <c r="E143" s="223"/>
    </row>
    <row r="144" s="28" customFormat="1" ht="15.75">
      <c r="E144" s="223"/>
    </row>
    <row r="145" s="28" customFormat="1" ht="15.75">
      <c r="E145" s="223"/>
    </row>
    <row r="146" s="28" customFormat="1" ht="15.75">
      <c r="E146" s="223"/>
    </row>
    <row r="147" s="28" customFormat="1" ht="15.75">
      <c r="E147" s="223"/>
    </row>
    <row r="148" s="28" customFormat="1" ht="15.75">
      <c r="E148" s="223"/>
    </row>
    <row r="149" s="28" customFormat="1" ht="15.75">
      <c r="E149" s="223"/>
    </row>
    <row r="150" s="28" customFormat="1" ht="15.75">
      <c r="E150" s="223"/>
    </row>
    <row r="151" s="28" customFormat="1" ht="15.75">
      <c r="E151" s="223"/>
    </row>
    <row r="152" s="28" customFormat="1" ht="15.75">
      <c r="E152" s="223"/>
    </row>
    <row r="153" s="28" customFormat="1" ht="15.75">
      <c r="E153" s="223"/>
    </row>
    <row r="154" s="28" customFormat="1" ht="15.75">
      <c r="E154" s="223"/>
    </row>
    <row r="155" s="28" customFormat="1" ht="15.75">
      <c r="E155" s="223"/>
    </row>
    <row r="156" s="28" customFormat="1" ht="15.75">
      <c r="E156" s="223"/>
    </row>
    <row r="157" s="28" customFormat="1" ht="15.75">
      <c r="E157" s="223"/>
    </row>
    <row r="158" s="28" customFormat="1" ht="15.75">
      <c r="E158" s="223"/>
    </row>
    <row r="159" s="28" customFormat="1" ht="15.75">
      <c r="E159" s="223"/>
    </row>
    <row r="160" s="28" customFormat="1" ht="15.75">
      <c r="E160" s="223"/>
    </row>
    <row r="161" s="28" customFormat="1" ht="15.75">
      <c r="E161" s="223"/>
    </row>
    <row r="162" s="28" customFormat="1" ht="15.75">
      <c r="E162" s="223"/>
    </row>
    <row r="163" s="28" customFormat="1" ht="15.75">
      <c r="E163" s="223"/>
    </row>
  </sheetData>
  <sheetProtection/>
  <mergeCells count="1">
    <mergeCell ref="A2:E2"/>
  </mergeCells>
  <printOptions/>
  <pageMargins left="0.7" right="0.7" top="0.75" bottom="0.75" header="0.3" footer="0.3"/>
  <pageSetup orientation="portrait" scale="45"/>
  <colBreaks count="1" manualBreakCount="1">
    <brk id="5" max="65535" man="1"/>
  </colBreaks>
</worksheet>
</file>

<file path=xl/worksheets/sheet5.xml><?xml version="1.0" encoding="utf-8"?>
<worksheet xmlns="http://schemas.openxmlformats.org/spreadsheetml/2006/main" xmlns:r="http://schemas.openxmlformats.org/officeDocument/2006/relationships">
  <dimension ref="A1:AQ173"/>
  <sheetViews>
    <sheetView zoomScalePageLayoutView="0" workbookViewId="0" topLeftCell="A1">
      <selection activeCell="B12" sqref="B12"/>
    </sheetView>
  </sheetViews>
  <sheetFormatPr defaultColWidth="10.875" defaultRowHeight="15.75"/>
  <cols>
    <col min="1" max="1" width="3.00390625" style="25" customWidth="1"/>
    <col min="2" max="2" width="61.125" style="25" customWidth="1"/>
    <col min="3" max="3" width="14.875" style="26" customWidth="1"/>
    <col min="4" max="4" width="10.875" style="25" customWidth="1"/>
    <col min="5" max="5" width="3.50390625" style="25" customWidth="1"/>
    <col min="6" max="6" width="44.875" style="25" bestFit="1" customWidth="1"/>
    <col min="7" max="7" width="14.50390625" style="25" bestFit="1" customWidth="1"/>
    <col min="8" max="16384" width="10.875" style="25" customWidth="1"/>
  </cols>
  <sheetData>
    <row r="1" s="140" customFormat="1" ht="26.25">
      <c r="A1" s="139" t="str">
        <f ca="1">MID(CELL("filename",A1),FIND("]",CELL("filename",A1))+1,255)</f>
        <v>Pro Forma</v>
      </c>
    </row>
    <row r="2" spans="1:43" s="2" customFormat="1" ht="30.75" customHeight="1">
      <c r="A2" s="310" t="str">
        <f>Overview!C17</f>
        <v>This tab includes real estate feasibility calculations. The user of this workbook can change the development program assumptions to see how the calculations change by building type and size, which can vary considerably between CodeNEXT zones.</v>
      </c>
      <c r="B2" s="310"/>
      <c r="C2" s="310"/>
      <c r="D2" s="310"/>
      <c r="E2" s="310"/>
      <c r="F2" s="310"/>
      <c r="G2" s="310"/>
      <c r="H2" s="310"/>
      <c r="I2" s="5"/>
      <c r="J2" s="3"/>
      <c r="K2" s="3"/>
      <c r="L2" s="3"/>
      <c r="M2" s="3"/>
      <c r="N2" s="3"/>
      <c r="O2" s="3"/>
      <c r="P2" s="3"/>
      <c r="Q2" s="3"/>
      <c r="R2" s="3"/>
      <c r="S2" s="3"/>
      <c r="AI2" s="3"/>
      <c r="AJ2" s="3"/>
      <c r="AK2" s="3"/>
      <c r="AL2" s="3"/>
      <c r="AM2" s="3"/>
      <c r="AN2" s="3"/>
      <c r="AO2" s="3"/>
      <c r="AP2" s="3"/>
      <c r="AQ2" s="3"/>
    </row>
    <row r="3" spans="1:43" s="10" customFormat="1" ht="15.75">
      <c r="A3" s="7"/>
      <c r="B3" s="8"/>
      <c r="C3" s="8"/>
      <c r="D3" s="8"/>
      <c r="E3" s="52"/>
      <c r="F3" s="8"/>
      <c r="G3" s="8"/>
      <c r="H3" s="8"/>
      <c r="I3" s="8"/>
      <c r="J3" s="9"/>
      <c r="K3" s="9"/>
      <c r="L3" s="9"/>
      <c r="M3" s="9"/>
      <c r="N3" s="9"/>
      <c r="O3" s="9"/>
      <c r="P3" s="9"/>
      <c r="Q3" s="9"/>
      <c r="R3" s="9"/>
      <c r="S3" s="9"/>
      <c r="X3" s="9"/>
      <c r="Y3" s="9"/>
      <c r="Z3" s="9"/>
      <c r="AA3" s="9"/>
      <c r="AC3" s="9"/>
      <c r="AD3" s="9"/>
      <c r="AE3" s="9"/>
      <c r="AF3" s="9"/>
      <c r="AG3" s="9"/>
      <c r="AH3" s="9"/>
      <c r="AI3" s="9"/>
      <c r="AJ3" s="9"/>
      <c r="AK3" s="9"/>
      <c r="AL3" s="9"/>
      <c r="AM3" s="9"/>
      <c r="AN3" s="9"/>
      <c r="AO3" s="9"/>
      <c r="AP3" s="9"/>
      <c r="AQ3" s="9"/>
    </row>
    <row r="4" spans="2:3" s="130" customFormat="1" ht="15.75">
      <c r="B4" s="38"/>
      <c r="C4" s="192"/>
    </row>
    <row r="5" spans="2:3" s="130" customFormat="1" ht="15.75">
      <c r="B5" s="38" t="s">
        <v>409</v>
      </c>
      <c r="C5" s="192"/>
    </row>
    <row r="6" spans="2:3" s="130" customFormat="1" ht="15.75">
      <c r="B6" s="38" t="s">
        <v>411</v>
      </c>
      <c r="C6" s="192"/>
    </row>
    <row r="7" s="130" customFormat="1" ht="15.75">
      <c r="C7" s="192"/>
    </row>
    <row r="8" spans="2:3" s="130" customFormat="1" ht="15.75">
      <c r="B8" s="38" t="s">
        <v>405</v>
      </c>
      <c r="C8" s="192"/>
    </row>
    <row r="9" spans="2:3" s="130" customFormat="1" ht="15.75">
      <c r="B9" s="38" t="s">
        <v>410</v>
      </c>
      <c r="C9" s="192"/>
    </row>
    <row r="10" spans="2:3" s="130" customFormat="1" ht="15.75">
      <c r="B10" s="38" t="s">
        <v>413</v>
      </c>
      <c r="C10" s="192"/>
    </row>
    <row r="11" spans="2:3" s="130" customFormat="1" ht="15.75">
      <c r="B11" s="38" t="s">
        <v>414</v>
      </c>
      <c r="C11" s="192"/>
    </row>
    <row r="12" spans="2:3" s="130" customFormat="1" ht="15.75">
      <c r="B12" s="38" t="s">
        <v>429</v>
      </c>
      <c r="C12" s="192"/>
    </row>
    <row r="13" spans="2:3" s="130" customFormat="1" ht="15.75">
      <c r="B13" s="38" t="s">
        <v>418</v>
      </c>
      <c r="C13" s="192"/>
    </row>
    <row r="14" spans="2:3" s="130" customFormat="1" ht="15.75">
      <c r="B14" s="38"/>
      <c r="C14" s="192"/>
    </row>
    <row r="15" spans="2:3" s="130" customFormat="1" ht="15.75">
      <c r="B15" s="38" t="s">
        <v>415</v>
      </c>
      <c r="C15" s="192"/>
    </row>
    <row r="16" spans="2:3" s="130" customFormat="1" ht="15.75">
      <c r="B16" s="38" t="s">
        <v>408</v>
      </c>
      <c r="C16" s="192"/>
    </row>
    <row r="17" spans="2:3" s="130" customFormat="1" ht="15.75">
      <c r="B17" s="38"/>
      <c r="C17" s="192"/>
    </row>
    <row r="18" spans="2:3" s="130" customFormat="1" ht="15.75">
      <c r="B18" s="38" t="s">
        <v>406</v>
      </c>
      <c r="C18" s="192"/>
    </row>
    <row r="19" spans="2:3" s="130" customFormat="1" ht="15.75">
      <c r="B19" s="38" t="s">
        <v>407</v>
      </c>
      <c r="C19" s="192"/>
    </row>
    <row r="20" spans="2:3" s="130" customFormat="1" ht="15.75">
      <c r="B20" s="38"/>
      <c r="C20" s="192"/>
    </row>
    <row r="21" spans="1:3" s="2" customFormat="1" ht="15.75">
      <c r="A21" s="48" t="s">
        <v>67</v>
      </c>
      <c r="C21" s="3"/>
    </row>
    <row r="22" spans="2:7" s="7" customFormat="1" ht="15.75">
      <c r="B22" s="7" t="s">
        <v>412</v>
      </c>
      <c r="C22" s="46"/>
      <c r="E22" s="7" t="s">
        <v>395</v>
      </c>
      <c r="G22" s="46"/>
    </row>
    <row r="23" spans="3:7" s="130" customFormat="1" ht="15.75">
      <c r="C23" s="133"/>
      <c r="G23" s="133"/>
    </row>
    <row r="24" spans="2:7" s="130" customFormat="1" ht="15.75">
      <c r="B24" s="64" t="s">
        <v>55</v>
      </c>
      <c r="C24" s="133"/>
      <c r="F24" s="47" t="s">
        <v>55</v>
      </c>
      <c r="G24" s="133"/>
    </row>
    <row r="25" spans="2:7" s="130" customFormat="1" ht="15.75">
      <c r="B25" s="38" t="s">
        <v>422</v>
      </c>
      <c r="C25" s="197">
        <v>0</v>
      </c>
      <c r="F25" s="38" t="s">
        <v>422</v>
      </c>
      <c r="G25" s="197">
        <v>0</v>
      </c>
    </row>
    <row r="26" spans="2:7" s="130" customFormat="1" ht="15.75">
      <c r="B26" s="38" t="s">
        <v>168</v>
      </c>
      <c r="C26" s="197">
        <v>1</v>
      </c>
      <c r="D26" s="156"/>
      <c r="F26" s="38" t="s">
        <v>168</v>
      </c>
      <c r="G26" s="197">
        <v>1</v>
      </c>
    </row>
    <row r="27" spans="2:7" s="130" customFormat="1" ht="15.75">
      <c r="B27" s="38" t="s">
        <v>179</v>
      </c>
      <c r="C27" s="159">
        <v>3</v>
      </c>
      <c r="D27" s="156"/>
      <c r="F27" s="38" t="s">
        <v>179</v>
      </c>
      <c r="G27" s="159">
        <v>5</v>
      </c>
    </row>
    <row r="28" spans="2:9" s="130" customFormat="1" ht="15.75">
      <c r="B28" s="38" t="s">
        <v>178</v>
      </c>
      <c r="C28" s="160">
        <v>100000</v>
      </c>
      <c r="D28" s="294"/>
      <c r="F28" s="38" t="s">
        <v>178</v>
      </c>
      <c r="G28" s="160">
        <f>C28</f>
        <v>100000</v>
      </c>
      <c r="I28" s="294"/>
    </row>
    <row r="29" spans="2:7" s="130" customFormat="1" ht="15.75">
      <c r="B29" s="38" t="s">
        <v>357</v>
      </c>
      <c r="C29" s="160">
        <f>C28*0.25</f>
        <v>25000</v>
      </c>
      <c r="D29" s="156"/>
      <c r="F29" s="38" t="s">
        <v>357</v>
      </c>
      <c r="G29" s="160">
        <f>G28*0.25</f>
        <v>25000</v>
      </c>
    </row>
    <row r="30" spans="2:7" s="130" customFormat="1" ht="15.75">
      <c r="B30" s="38" t="s">
        <v>180</v>
      </c>
      <c r="C30" s="161">
        <v>0.86</v>
      </c>
      <c r="D30" s="296"/>
      <c r="F30" s="38" t="s">
        <v>180</v>
      </c>
      <c r="G30" s="161">
        <v>1.99</v>
      </c>
    </row>
    <row r="31" spans="2:9" s="130" customFormat="1" ht="15.75">
      <c r="B31" s="63" t="s">
        <v>56</v>
      </c>
      <c r="C31" s="158">
        <v>97</v>
      </c>
      <c r="D31" s="156"/>
      <c r="F31" s="63" t="s">
        <v>56</v>
      </c>
      <c r="G31" s="158">
        <v>196</v>
      </c>
      <c r="H31" s="257"/>
      <c r="I31" s="257"/>
    </row>
    <row r="32" spans="2:7" s="130" customFormat="1" ht="15.75">
      <c r="B32" s="63" t="s">
        <v>95</v>
      </c>
      <c r="C32" s="135">
        <f>Assumptions!$C$78</f>
        <v>811.4846932080893</v>
      </c>
      <c r="D32" s="156"/>
      <c r="F32" s="63" t="s">
        <v>95</v>
      </c>
      <c r="G32" s="135">
        <f>Assumptions!$C$78</f>
        <v>811.4846932080893</v>
      </c>
    </row>
    <row r="33" spans="2:7" s="130" customFormat="1" ht="15.75">
      <c r="B33" s="72" t="s">
        <v>57</v>
      </c>
      <c r="C33" s="69">
        <f>C31</f>
        <v>97</v>
      </c>
      <c r="D33" s="156"/>
      <c r="F33" s="63" t="s">
        <v>68</v>
      </c>
      <c r="G33" s="158">
        <f>G31/2</f>
        <v>98</v>
      </c>
    </row>
    <row r="34" spans="2:7" s="130" customFormat="1" ht="15.75">
      <c r="B34" s="74" t="s">
        <v>77</v>
      </c>
      <c r="C34" s="66">
        <f>Assumptions!$C$7</f>
        <v>2.75</v>
      </c>
      <c r="D34" s="156"/>
      <c r="F34" s="72" t="s">
        <v>57</v>
      </c>
      <c r="G34" s="69">
        <f>G31</f>
        <v>196</v>
      </c>
    </row>
    <row r="35" spans="2:7" s="130" customFormat="1" ht="15.75">
      <c r="B35" s="74" t="s">
        <v>58</v>
      </c>
      <c r="C35" s="67">
        <f>C32*C33</f>
        <v>78714.01524118466</v>
      </c>
      <c r="D35" s="156"/>
      <c r="F35" s="74" t="s">
        <v>77</v>
      </c>
      <c r="G35" s="66">
        <f>Assumptions!$C$7</f>
        <v>2.75</v>
      </c>
    </row>
    <row r="36" spans="2:7" s="130" customFormat="1" ht="15.75">
      <c r="B36" s="73" t="s">
        <v>59</v>
      </c>
      <c r="C36" s="68">
        <f>C35*C34*12</f>
        <v>2597562.502959094</v>
      </c>
      <c r="D36" s="156"/>
      <c r="F36" s="74" t="s">
        <v>58</v>
      </c>
      <c r="G36" s="67">
        <f>G32*G34</f>
        <v>159050.9998687855</v>
      </c>
    </row>
    <row r="37" spans="2:7" s="130" customFormat="1" ht="15.75">
      <c r="B37" s="60" t="s">
        <v>78</v>
      </c>
      <c r="C37" s="65">
        <f>C36</f>
        <v>2597562.502959094</v>
      </c>
      <c r="D37" s="156"/>
      <c r="F37" s="73" t="s">
        <v>59</v>
      </c>
      <c r="G37" s="68">
        <f>G36*G35*12</f>
        <v>5248682.995669922</v>
      </c>
    </row>
    <row r="38" spans="2:7" s="130" customFormat="1" ht="15.75">
      <c r="B38" s="61" t="s">
        <v>60</v>
      </c>
      <c r="C38" s="65">
        <f>C37*Assumptions!$C$50</f>
        <v>779268.7508877282</v>
      </c>
      <c r="D38" s="156"/>
      <c r="F38" s="60" t="s">
        <v>78</v>
      </c>
      <c r="G38" s="65">
        <f>G37</f>
        <v>5248682.995669922</v>
      </c>
    </row>
    <row r="39" spans="2:7" s="130" customFormat="1" ht="15.75">
      <c r="B39" s="61" t="s">
        <v>61</v>
      </c>
      <c r="C39" s="65">
        <f>C37*Assumptions!$C$6</f>
        <v>155853.75017754565</v>
      </c>
      <c r="D39" s="156"/>
      <c r="F39" s="61" t="s">
        <v>60</v>
      </c>
      <c r="G39" s="307">
        <f>G38*Assumptions!$C$50</f>
        <v>1574604.8987009765</v>
      </c>
    </row>
    <row r="40" spans="2:7" s="130" customFormat="1" ht="15.75">
      <c r="B40" s="60" t="s">
        <v>79</v>
      </c>
      <c r="C40" s="65">
        <f>C37-C38-C39</f>
        <v>1662440.00189382</v>
      </c>
      <c r="F40" s="61" t="s">
        <v>61</v>
      </c>
      <c r="G40" s="307">
        <f>G38*Assumptions!$C$6</f>
        <v>314920.9797401953</v>
      </c>
    </row>
    <row r="41" spans="2:7" s="130" customFormat="1" ht="15.75">
      <c r="B41" s="63" t="s">
        <v>423</v>
      </c>
      <c r="C41" s="35">
        <v>0</v>
      </c>
      <c r="F41" s="60" t="s">
        <v>79</v>
      </c>
      <c r="G41" s="65">
        <f>G38-G39-G40</f>
        <v>3359157.1172287497</v>
      </c>
    </row>
    <row r="42" spans="2:7" s="130" customFormat="1" ht="15.75">
      <c r="B42" s="60" t="s">
        <v>424</v>
      </c>
      <c r="C42" s="65">
        <f>C41*Assumptions!$C$11</f>
        <v>0</v>
      </c>
      <c r="F42" s="63" t="s">
        <v>423</v>
      </c>
      <c r="G42" s="35">
        <v>0</v>
      </c>
    </row>
    <row r="43" spans="2:7" s="130" customFormat="1" ht="15.75">
      <c r="B43" s="61" t="s">
        <v>60</v>
      </c>
      <c r="C43" s="65">
        <f>C42*Assumptions!$C$51</f>
        <v>0</v>
      </c>
      <c r="F43" s="63" t="s">
        <v>425</v>
      </c>
      <c r="G43" s="135">
        <v>0</v>
      </c>
    </row>
    <row r="44" spans="2:7" s="130" customFormat="1" ht="15.75">
      <c r="B44" s="61" t="s">
        <v>61</v>
      </c>
      <c r="C44" s="65">
        <f>C42*Assumptions!$C$10</f>
        <v>0</v>
      </c>
      <c r="F44" s="60" t="s">
        <v>424</v>
      </c>
      <c r="G44" s="65">
        <f>G42*Assumptions!$C$11</f>
        <v>0</v>
      </c>
    </row>
    <row r="45" spans="2:7" s="130" customFormat="1" ht="15.75">
      <c r="B45" s="60" t="s">
        <v>426</v>
      </c>
      <c r="C45" s="65">
        <f>C42-C43-C44</f>
        <v>0</v>
      </c>
      <c r="F45" s="61" t="s">
        <v>60</v>
      </c>
      <c r="G45" s="65">
        <f>G44*Assumptions!$C$51</f>
        <v>0</v>
      </c>
    </row>
    <row r="46" spans="2:7" s="130" customFormat="1" ht="15.75">
      <c r="B46" s="59" t="s">
        <v>171</v>
      </c>
      <c r="C46" s="58">
        <f>IF(C26=1,(C31*Assumptions!$C$28),(ROUNDUP(('Pro Forma'!C41/Assumptions!$C$39)/1000,0))*Assumptions!$C$29)</f>
        <v>97</v>
      </c>
      <c r="F46" s="61" t="s">
        <v>61</v>
      </c>
      <c r="G46" s="65">
        <f>G44*Assumptions!$C$10</f>
        <v>0</v>
      </c>
    </row>
    <row r="47" spans="2:7" s="130" customFormat="1" ht="15.75">
      <c r="B47" s="128" t="s">
        <v>164</v>
      </c>
      <c r="C47" s="252">
        <v>97</v>
      </c>
      <c r="D47" s="257"/>
      <c r="F47" s="60" t="s">
        <v>426</v>
      </c>
      <c r="G47" s="65">
        <f>G44-G45-G46</f>
        <v>0</v>
      </c>
    </row>
    <row r="48" spans="2:7" s="130" customFormat="1" ht="15.75">
      <c r="B48" s="128" t="s">
        <v>353</v>
      </c>
      <c r="C48" s="252">
        <v>0</v>
      </c>
      <c r="D48" s="257"/>
      <c r="F48" s="59" t="s">
        <v>171</v>
      </c>
      <c r="G48" s="58">
        <f>IF(G26=1,(G31*Assumptions!$C$28),(ROUNDUP(('Pro Forma'!G42/Assumptions!$C$39)/1000,0))*Assumptions!$C$29)</f>
        <v>196</v>
      </c>
    </row>
    <row r="49" spans="2:8" s="130" customFormat="1" ht="15.75">
      <c r="B49" s="128" t="s">
        <v>354</v>
      </c>
      <c r="C49" s="252">
        <v>0</v>
      </c>
      <c r="D49" s="257"/>
      <c r="F49" s="128" t="s">
        <v>164</v>
      </c>
      <c r="G49" s="252">
        <v>76</v>
      </c>
      <c r="H49" s="257"/>
    </row>
    <row r="50" spans="2:9" s="130" customFormat="1" ht="15.75">
      <c r="B50" s="128" t="s">
        <v>165</v>
      </c>
      <c r="C50" s="252">
        <v>0</v>
      </c>
      <c r="D50" s="257"/>
      <c r="F50" s="128" t="s">
        <v>353</v>
      </c>
      <c r="G50" s="252">
        <v>0</v>
      </c>
      <c r="H50" s="257"/>
      <c r="I50" s="257"/>
    </row>
    <row r="51" spans="2:8" s="130" customFormat="1" ht="15.75">
      <c r="B51" s="128" t="s">
        <v>166</v>
      </c>
      <c r="C51" s="127">
        <f>C46-SUM(C47:C50)</f>
        <v>0</v>
      </c>
      <c r="D51" s="257"/>
      <c r="F51" s="128" t="s">
        <v>354</v>
      </c>
      <c r="G51" s="252">
        <v>0</v>
      </c>
      <c r="H51" s="257"/>
    </row>
    <row r="52" spans="2:8" s="130" customFormat="1" ht="15.75">
      <c r="B52" s="61" t="s">
        <v>82</v>
      </c>
      <c r="C52" s="68">
        <f>IF(C26=1,(Assumptions!$C$12*12*C46),(Assumptions!$C$14*12*C46))</f>
        <v>0</v>
      </c>
      <c r="F52" s="128" t="s">
        <v>165</v>
      </c>
      <c r="G52" s="252">
        <v>120</v>
      </c>
      <c r="H52" s="257"/>
    </row>
    <row r="53" spans="2:8" s="130" customFormat="1" ht="15.75">
      <c r="B53" s="61" t="s">
        <v>60</v>
      </c>
      <c r="C53" s="68">
        <f>C52*Assumptions!$C$52</f>
        <v>0</v>
      </c>
      <c r="F53" s="128" t="s">
        <v>166</v>
      </c>
      <c r="G53" s="127">
        <f>G48-SUM(G49:G52)</f>
        <v>0</v>
      </c>
      <c r="H53" s="257"/>
    </row>
    <row r="54" spans="2:7" s="130" customFormat="1" ht="15.75">
      <c r="B54" s="61" t="s">
        <v>61</v>
      </c>
      <c r="C54" s="132">
        <f>IF(C26=1,(C52*Assumptions!$C$13),(C52*Assumptions!$C$15))</f>
        <v>0</v>
      </c>
      <c r="F54" s="61" t="s">
        <v>82</v>
      </c>
      <c r="G54" s="68">
        <f>IF(G26=1,(Assumptions!$C$12*12*G48),(Assumptions!$C$14*12*G48))</f>
        <v>0</v>
      </c>
    </row>
    <row r="55" spans="2:7" s="130" customFormat="1" ht="15.75">
      <c r="B55" s="60" t="s">
        <v>80</v>
      </c>
      <c r="C55" s="68">
        <f>C52-C53-C54</f>
        <v>0</v>
      </c>
      <c r="F55" s="61" t="s">
        <v>60</v>
      </c>
      <c r="G55" s="68">
        <f>G54*Assumptions!$C$52</f>
        <v>0</v>
      </c>
    </row>
    <row r="56" spans="2:7" s="130" customFormat="1" ht="15.75">
      <c r="B56" s="75" t="s">
        <v>81</v>
      </c>
      <c r="C56" s="49">
        <f>C55+C40+C45</f>
        <v>1662440.00189382</v>
      </c>
      <c r="F56" s="61" t="s">
        <v>61</v>
      </c>
      <c r="G56" s="68">
        <f>IF(G26=1,(G54*Assumptions!$C$13),(G54*Assumptions!$C$15))</f>
        <v>0</v>
      </c>
    </row>
    <row r="57" spans="2:7" s="130" customFormat="1" ht="15.75">
      <c r="B57" s="64" t="s">
        <v>62</v>
      </c>
      <c r="C57" s="125"/>
      <c r="F57" s="60" t="s">
        <v>80</v>
      </c>
      <c r="G57" s="68">
        <f>G54-G55-G56</f>
        <v>0</v>
      </c>
    </row>
    <row r="58" spans="2:7" s="130" customFormat="1" ht="15.75">
      <c r="B58" s="60" t="s">
        <v>173</v>
      </c>
      <c r="C58" s="295">
        <f>IF(C25=1,0,IF(C31&lt;10,Assumptions!$C$40,IF(AND(C50&lt;1,C27&lt;4),Assumptions!$C$40,IF(AND(C50&lt;1,C27&gt;3,C27&lt;6),Assumptions!$C$41,IF(AND(C50&gt;0,C27&lt;6),Assumptions!$C$42,IF(C27&gt;5,Assumptions!$C$43,0))))))</f>
        <v>135</v>
      </c>
      <c r="F58" s="75" t="s">
        <v>81</v>
      </c>
      <c r="G58" s="49">
        <f>G57+G41+G47</f>
        <v>3359157.1172287497</v>
      </c>
    </row>
    <row r="59" spans="2:7" s="130" customFormat="1" ht="15.75">
      <c r="B59" s="60" t="s">
        <v>427</v>
      </c>
      <c r="C59" s="295">
        <f>IF(C26=1,0,IF(C27&lt;3,Assumptions!$C$44,IF(C27&gt;2,Assumptions!$C$45,0)))</f>
        <v>0</v>
      </c>
      <c r="F59" s="64" t="s">
        <v>62</v>
      </c>
      <c r="G59" s="65"/>
    </row>
    <row r="60" spans="2:7" s="130" customFormat="1" ht="15.75">
      <c r="B60" s="59" t="s">
        <v>63</v>
      </c>
      <c r="C60" s="65">
        <f>C58*(C35/Assumptions!$C$38)</f>
        <v>13282990.07194991</v>
      </c>
      <c r="F60" s="60" t="s">
        <v>173</v>
      </c>
      <c r="G60" s="295">
        <f>IF(G25=1,0,IF(G31&lt;10,Assumptions!$C$40,IF(AND(G52&lt;1,G27&lt;4),Assumptions!$C$40,IF(AND(G52&lt;1,G27&gt;3,G27&lt;6),Assumptions!$C$41,IF(AND(G52&gt;0,G27&lt;6),Assumptions!$C$42,IF(G27&gt;5,Assumptions!$C$43,0))))))</f>
        <v>165</v>
      </c>
    </row>
    <row r="61" spans="2:7" s="130" customFormat="1" ht="15.75">
      <c r="B61" s="59" t="s">
        <v>428</v>
      </c>
      <c r="C61" s="65">
        <f>C59*(C41/Assumptions!$C$39)</f>
        <v>0</v>
      </c>
      <c r="F61" s="60" t="s">
        <v>427</v>
      </c>
      <c r="G61" s="295">
        <f>IF(G26=1,0,IF(G27&lt;3,Assumptions!$C$44,IF(G27&gt;2,Assumptions!$C$45,0)))</f>
        <v>0</v>
      </c>
    </row>
    <row r="62" spans="2:7" s="130" customFormat="1" ht="15.75">
      <c r="B62" s="59" t="s">
        <v>162</v>
      </c>
      <c r="C62" s="65">
        <f>C47*Assumptions!$C$31</f>
        <v>679000</v>
      </c>
      <c r="F62" s="59" t="s">
        <v>63</v>
      </c>
      <c r="G62" s="65">
        <f>G60*(G36/Assumptions!$C$38)</f>
        <v>32804268.72293701</v>
      </c>
    </row>
    <row r="63" spans="2:7" s="130" customFormat="1" ht="15.75">
      <c r="B63" s="59" t="s">
        <v>355</v>
      </c>
      <c r="C63" s="65">
        <f>C48*Assumptions!$C$32</f>
        <v>0</v>
      </c>
      <c r="F63" s="59" t="s">
        <v>428</v>
      </c>
      <c r="G63" s="65">
        <f>G61*(G42/Assumptions!$C$39)</f>
        <v>0</v>
      </c>
    </row>
    <row r="64" spans="2:7" s="130" customFormat="1" ht="15.75">
      <c r="B64" s="59" t="s">
        <v>356</v>
      </c>
      <c r="C64" s="65">
        <f>C49*Assumptions!$C$33</f>
        <v>0</v>
      </c>
      <c r="F64" s="59" t="s">
        <v>162</v>
      </c>
      <c r="G64" s="65">
        <f>G49*Assumptions!$C$31</f>
        <v>532000</v>
      </c>
    </row>
    <row r="65" spans="2:7" s="130" customFormat="1" ht="15.75">
      <c r="B65" s="59" t="s">
        <v>163</v>
      </c>
      <c r="C65" s="65">
        <f>C50*Assumptions!$C$34</f>
        <v>0</v>
      </c>
      <c r="F65" s="59" t="s">
        <v>355</v>
      </c>
      <c r="G65" s="65">
        <f>G50*Assumptions!$C$32</f>
        <v>0</v>
      </c>
    </row>
    <row r="66" spans="2:7" s="130" customFormat="1" ht="15.75">
      <c r="B66" s="59" t="s">
        <v>167</v>
      </c>
      <c r="C66" s="65">
        <f>C51*Assumptions!$C$35</f>
        <v>0</v>
      </c>
      <c r="F66" s="59" t="s">
        <v>356</v>
      </c>
      <c r="G66" s="65">
        <f>G51*Assumptions!$C$33</f>
        <v>0</v>
      </c>
    </row>
    <row r="67" spans="2:7" s="130" customFormat="1" ht="15.75">
      <c r="B67" s="59" t="s">
        <v>64</v>
      </c>
      <c r="C67" s="65">
        <f>IF(C26=1,(C29*Assumptions!$C$46),IF(C25=1,C29*0.85*Assumptions!$C$46,0))</f>
        <v>125000</v>
      </c>
      <c r="F67" s="59" t="s">
        <v>163</v>
      </c>
      <c r="G67" s="65">
        <f>G52*Assumptions!$C$34</f>
        <v>3600000</v>
      </c>
    </row>
    <row r="68" spans="2:7" s="130" customFormat="1" ht="15.75">
      <c r="B68" s="61" t="s">
        <v>70</v>
      </c>
      <c r="C68" s="307">
        <f>SUM(C60:C67)*Assumptions!$C$56</f>
        <v>3521747.5179874776</v>
      </c>
      <c r="F68" s="59" t="s">
        <v>167</v>
      </c>
      <c r="G68" s="65">
        <f>G53*Assumptions!$C$35</f>
        <v>0</v>
      </c>
    </row>
    <row r="69" spans="2:7" s="130" customFormat="1" ht="15.75">
      <c r="B69" s="61" t="s">
        <v>71</v>
      </c>
      <c r="C69" s="307">
        <f>SUM(C60:C67)*Assumptions!$C$55</f>
        <v>563479.6028779964</v>
      </c>
      <c r="F69" s="59" t="s">
        <v>64</v>
      </c>
      <c r="G69" s="65">
        <f>IF(G26=1,(G29*Assumptions!$C$46),IF(G25=1,G29*0.85*Assumptions!$C$46,0))</f>
        <v>125000</v>
      </c>
    </row>
    <row r="70" spans="2:7" s="130" customFormat="1" ht="15.75">
      <c r="B70" s="61" t="s">
        <v>65</v>
      </c>
      <c r="C70" s="65">
        <f>SUM(C60:C67,C68)*Assumptions!$C$57</f>
        <v>704349.5035974956</v>
      </c>
      <c r="F70" s="61" t="s">
        <v>70</v>
      </c>
      <c r="G70" s="307">
        <f>SUM(G62:G69)*Assumptions!$C$56</f>
        <v>9265317.180734253</v>
      </c>
    </row>
    <row r="71" spans="2:7" s="130" customFormat="1" ht="15.75">
      <c r="B71" s="60" t="s">
        <v>72</v>
      </c>
      <c r="C71" s="65">
        <f>SUM(C60:C70)</f>
        <v>18876566.69641288</v>
      </c>
      <c r="F71" s="61" t="s">
        <v>71</v>
      </c>
      <c r="G71" s="307">
        <f>SUM(G62:G69)*Assumptions!$C$55</f>
        <v>1482450.7489174805</v>
      </c>
    </row>
    <row r="72" spans="2:7" s="130" customFormat="1" ht="15.75">
      <c r="B72" s="64" t="s">
        <v>75</v>
      </c>
      <c r="C72" s="28"/>
      <c r="F72" s="61" t="s">
        <v>65</v>
      </c>
      <c r="G72" s="65">
        <f>SUM(G62:G69,G70)*Assumptions!$C$57</f>
        <v>1853063.4361468507</v>
      </c>
    </row>
    <row r="73" spans="2:7" s="130" customFormat="1" ht="15.75">
      <c r="B73" s="62" t="s">
        <v>73</v>
      </c>
      <c r="C73" s="153">
        <f>IF(C26=1,(Assumptions!$C$61*(1+Assumptions!$C$63)),IF(C25=1,(Assumptions!$C$62*(1+Assumptions!$C$63)),0))</f>
        <v>0.06</v>
      </c>
      <c r="F73" s="60" t="s">
        <v>72</v>
      </c>
      <c r="G73" s="65">
        <f>SUM(G62:G72)</f>
        <v>49662100.088735595</v>
      </c>
    </row>
    <row r="74" spans="2:7" s="130" customFormat="1" ht="15.75">
      <c r="B74" s="62" t="s">
        <v>74</v>
      </c>
      <c r="C74" s="65">
        <f>C56/C73-C71</f>
        <v>8830766.668484122</v>
      </c>
      <c r="F74" s="64" t="s">
        <v>75</v>
      </c>
      <c r="G74" s="28"/>
    </row>
    <row r="75" spans="2:7" s="130" customFormat="1" ht="15.75">
      <c r="B75" s="62" t="s">
        <v>259</v>
      </c>
      <c r="C75" s="68">
        <f>IF(C28&gt;0,C74/C28,0)</f>
        <v>88.30766668484121</v>
      </c>
      <c r="F75" s="62" t="s">
        <v>73</v>
      </c>
      <c r="G75" s="153">
        <f>IF(G26=1,(Assumptions!$C$61*(1+Assumptions!$C$63)),IF(G25=1,(Assumptions!$C$62*(1+Assumptions!$C$63)),0))</f>
        <v>0.06</v>
      </c>
    </row>
    <row r="76" spans="2:7" s="130" customFormat="1" ht="15.75">
      <c r="B76" s="62" t="s">
        <v>76</v>
      </c>
      <c r="C76" s="70" t="str">
        <f>IF(C74&gt;0,"Feasible",IF(AND(C27&gt;0,C74&lt;1),"No",0))</f>
        <v>Feasible</v>
      </c>
      <c r="F76" s="62" t="s">
        <v>74</v>
      </c>
      <c r="G76" s="65">
        <f>G58/G75-G73</f>
        <v>6323851.8650768995</v>
      </c>
    </row>
    <row r="77" spans="5:7" ht="15.75">
      <c r="E77" s="130"/>
      <c r="F77" s="62" t="s">
        <v>260</v>
      </c>
      <c r="G77" s="68">
        <f>IF(G28&gt;0,G76/G28,0)</f>
        <v>63.238518650768995</v>
      </c>
    </row>
    <row r="78" spans="6:7" s="130" customFormat="1" ht="15.75">
      <c r="F78" s="62" t="s">
        <v>76</v>
      </c>
      <c r="G78" s="70" t="str">
        <f>IF(G76&gt;0,"Feasible",IF(AND(G27&gt;0,G76&lt;1),"No",0))</f>
        <v>Feasible</v>
      </c>
    </row>
    <row r="79" s="130" customFormat="1" ht="15.75"/>
    <row r="80" s="130" customFormat="1" ht="15.75"/>
    <row r="81" s="2" customFormat="1" ht="15.75">
      <c r="A81" s="48" t="s">
        <v>66</v>
      </c>
    </row>
    <row r="82" spans="2:5" s="7" customFormat="1" ht="15.75">
      <c r="B82" s="7" t="s">
        <v>412</v>
      </c>
      <c r="E82" s="7" t="s">
        <v>395</v>
      </c>
    </row>
    <row r="83" s="130" customFormat="1" ht="15.75"/>
    <row r="84" spans="2:6" s="130" customFormat="1" ht="15.75">
      <c r="B84" s="47" t="s">
        <v>55</v>
      </c>
      <c r="F84" s="47" t="s">
        <v>55</v>
      </c>
    </row>
    <row r="85" spans="2:7" s="130" customFormat="1" ht="15.75">
      <c r="B85" s="38" t="s">
        <v>172</v>
      </c>
      <c r="C85" s="57">
        <f>C27</f>
        <v>3</v>
      </c>
      <c r="E85" s="174"/>
      <c r="F85" s="38" t="s">
        <v>172</v>
      </c>
      <c r="G85" s="156">
        <f>G27</f>
        <v>5</v>
      </c>
    </row>
    <row r="86" spans="2:7" s="130" customFormat="1" ht="15.75">
      <c r="B86" s="38" t="s">
        <v>178</v>
      </c>
      <c r="C86" s="57">
        <f>C28</f>
        <v>100000</v>
      </c>
      <c r="E86" s="174"/>
      <c r="F86" s="38" t="s">
        <v>178</v>
      </c>
      <c r="G86" s="137">
        <f>G28</f>
        <v>100000</v>
      </c>
    </row>
    <row r="87" spans="2:7" s="130" customFormat="1" ht="15.75">
      <c r="B87" s="38" t="s">
        <v>180</v>
      </c>
      <c r="C87" s="137">
        <f>C30</f>
        <v>0.86</v>
      </c>
      <c r="E87" s="174"/>
      <c r="F87" s="138" t="s">
        <v>180</v>
      </c>
      <c r="G87" s="157">
        <f>G30</f>
        <v>1.99</v>
      </c>
    </row>
    <row r="88" spans="2:7" s="174" customFormat="1" ht="15.75">
      <c r="B88" s="38" t="s">
        <v>168</v>
      </c>
      <c r="C88" s="156">
        <f>IF(C26=1,1,0)</f>
        <v>1</v>
      </c>
      <c r="F88" s="38" t="s">
        <v>168</v>
      </c>
      <c r="G88" s="156">
        <f>IF(G26=1,1,0)</f>
        <v>1</v>
      </c>
    </row>
    <row r="89" spans="2:7" s="130" customFormat="1" ht="15.75">
      <c r="B89" s="63" t="s">
        <v>56</v>
      </c>
      <c r="C89" s="69">
        <f>IF(C88=1,C31,0)</f>
        <v>97</v>
      </c>
      <c r="F89" s="63" t="s">
        <v>56</v>
      </c>
      <c r="G89" s="69">
        <f>IF(G88=1,G31,0)</f>
        <v>196</v>
      </c>
    </row>
    <row r="90" spans="2:7" s="130" customFormat="1" ht="15.75">
      <c r="B90" s="63" t="s">
        <v>95</v>
      </c>
      <c r="C90" s="135">
        <f>Assumptions!$C$78</f>
        <v>811.4846932080893</v>
      </c>
      <c r="F90" s="63" t="s">
        <v>95</v>
      </c>
      <c r="G90" s="135">
        <f>Assumptions!$C$78</f>
        <v>811.4846932080893</v>
      </c>
    </row>
    <row r="91" spans="2:7" s="130" customFormat="1" ht="15.75">
      <c r="B91" s="63" t="s">
        <v>68</v>
      </c>
      <c r="C91" s="69">
        <v>0</v>
      </c>
      <c r="F91" s="63" t="s">
        <v>68</v>
      </c>
      <c r="G91" s="69">
        <f>IF(G88=1,G33,0)</f>
        <v>98</v>
      </c>
    </row>
    <row r="92" spans="2:7" s="130" customFormat="1" ht="15.75">
      <c r="B92" s="72" t="s">
        <v>394</v>
      </c>
      <c r="C92" s="69">
        <f>C89</f>
        <v>97</v>
      </c>
      <c r="F92" s="72" t="s">
        <v>394</v>
      </c>
      <c r="G92" s="69">
        <f>G89</f>
        <v>196</v>
      </c>
    </row>
    <row r="93" spans="2:7" s="130" customFormat="1" ht="15.75">
      <c r="B93" s="74" t="s">
        <v>152</v>
      </c>
      <c r="C93" s="68">
        <f>Affordability!$C$62</f>
        <v>365168.11194364016</v>
      </c>
      <c r="F93" s="74" t="s">
        <v>152</v>
      </c>
      <c r="G93" s="68">
        <f>Affordability!$C$62</f>
        <v>365168.11194364016</v>
      </c>
    </row>
    <row r="94" spans="2:7" s="130" customFormat="1" ht="15.75">
      <c r="B94" s="73" t="s">
        <v>153</v>
      </c>
      <c r="C94" s="68">
        <f>C93*C92</f>
        <v>35421306.8585331</v>
      </c>
      <c r="F94" s="73" t="s">
        <v>153</v>
      </c>
      <c r="G94" s="68">
        <f>G93*G92</f>
        <v>71572949.94095348</v>
      </c>
    </row>
    <row r="95" spans="2:7" s="130" customFormat="1" ht="15.75">
      <c r="B95" s="60" t="s">
        <v>69</v>
      </c>
      <c r="C95" s="65">
        <f>C94</f>
        <v>35421306.8585331</v>
      </c>
      <c r="F95" s="60" t="s">
        <v>69</v>
      </c>
      <c r="G95" s="65">
        <f>G94</f>
        <v>71572949.94095348</v>
      </c>
    </row>
    <row r="96" spans="2:7" s="130" customFormat="1" ht="15.75">
      <c r="B96" s="61" t="s">
        <v>154</v>
      </c>
      <c r="C96" s="65">
        <f>C95*Assumptions!$C$58</f>
        <v>2833704.548682648</v>
      </c>
      <c r="F96" s="61" t="s">
        <v>154</v>
      </c>
      <c r="G96" s="65">
        <f>G95*Assumptions!$C$58</f>
        <v>5725835.995276279</v>
      </c>
    </row>
    <row r="97" spans="2:7" s="130" customFormat="1" ht="15.75">
      <c r="B97" s="60" t="s">
        <v>156</v>
      </c>
      <c r="C97" s="65">
        <f>C95-C96</f>
        <v>32587602.30985045</v>
      </c>
      <c r="F97" s="60" t="s">
        <v>156</v>
      </c>
      <c r="G97" s="65">
        <f>G95-G96</f>
        <v>65847113.9456772</v>
      </c>
    </row>
    <row r="98" spans="2:7" s="130" customFormat="1" ht="15.75">
      <c r="B98" s="64" t="s">
        <v>62</v>
      </c>
      <c r="C98" s="65"/>
      <c r="F98" s="64" t="s">
        <v>62</v>
      </c>
      <c r="G98" s="65"/>
    </row>
    <row r="99" spans="2:7" s="130" customFormat="1" ht="15.75">
      <c r="B99" s="59" t="s">
        <v>63</v>
      </c>
      <c r="C99" s="65">
        <f>IF(C88=1,C60*(1+Assumptions!$C$47),0)</f>
        <v>15275438.582742395</v>
      </c>
      <c r="F99" s="59" t="s">
        <v>63</v>
      </c>
      <c r="G99" s="65">
        <f>IF(G88=1,G62*(1+Assumptions!$C$47),0)</f>
        <v>37724909.03137756</v>
      </c>
    </row>
    <row r="100" spans="2:7" s="130" customFormat="1" ht="15.75">
      <c r="B100" s="59" t="s">
        <v>162</v>
      </c>
      <c r="C100" s="65">
        <f>IF(C$88=1,C62,0)</f>
        <v>679000</v>
      </c>
      <c r="F100" s="59" t="s">
        <v>162</v>
      </c>
      <c r="G100" s="65">
        <f>IF(G$88=1,G64,0)</f>
        <v>532000</v>
      </c>
    </row>
    <row r="101" spans="2:7" s="130" customFormat="1" ht="15.75">
      <c r="B101" s="59" t="s">
        <v>355</v>
      </c>
      <c r="C101" s="65">
        <f>IF(C$88=1,C63,0)</f>
        <v>0</v>
      </c>
      <c r="F101" s="59" t="s">
        <v>355</v>
      </c>
      <c r="G101" s="65">
        <f>IF(G$88=1,G65,0)</f>
        <v>0</v>
      </c>
    </row>
    <row r="102" spans="2:7" s="130" customFormat="1" ht="15.75">
      <c r="B102" s="59" t="s">
        <v>356</v>
      </c>
      <c r="C102" s="65">
        <f>IF(C$88=1,C64,0)</f>
        <v>0</v>
      </c>
      <c r="F102" s="59" t="s">
        <v>356</v>
      </c>
      <c r="G102" s="65">
        <f>IF(G$88=1,G66,0)</f>
        <v>0</v>
      </c>
    </row>
    <row r="103" spans="2:7" s="130" customFormat="1" ht="15.75">
      <c r="B103" s="59" t="s">
        <v>163</v>
      </c>
      <c r="C103" s="65">
        <f>IF(C$88=1,C65,0)</f>
        <v>0</v>
      </c>
      <c r="F103" s="59" t="s">
        <v>163</v>
      </c>
      <c r="G103" s="65">
        <f>IF(G$88=1,G67,0)</f>
        <v>3600000</v>
      </c>
    </row>
    <row r="104" spans="2:7" s="130" customFormat="1" ht="15.75">
      <c r="B104" s="59" t="s">
        <v>167</v>
      </c>
      <c r="C104" s="65">
        <f>IF(C$88=1,C66,0)</f>
        <v>0</v>
      </c>
      <c r="F104" s="59" t="s">
        <v>167</v>
      </c>
      <c r="G104" s="65">
        <f>IF(G$88=1,G68,0)</f>
        <v>0</v>
      </c>
    </row>
    <row r="105" spans="2:7" s="130" customFormat="1" ht="15.75">
      <c r="B105" s="59" t="s">
        <v>64</v>
      </c>
      <c r="C105" s="65">
        <f>IF(C88=1,C67,0)</f>
        <v>125000</v>
      </c>
      <c r="F105" s="59" t="s">
        <v>64</v>
      </c>
      <c r="G105" s="65">
        <f>IF(G88=1,G69,0)</f>
        <v>125000</v>
      </c>
    </row>
    <row r="106" spans="2:7" s="130" customFormat="1" ht="15.75">
      <c r="B106" s="61" t="s">
        <v>70</v>
      </c>
      <c r="C106" s="65">
        <f>SUM(C99:C105)*Assumptions!$C$56</f>
        <v>4019859.6456855987</v>
      </c>
      <c r="F106" s="61" t="s">
        <v>70</v>
      </c>
      <c r="G106" s="65">
        <f>SUM(G99:G105)*Assumptions!$C$56</f>
        <v>10495477.25784439</v>
      </c>
    </row>
    <row r="107" spans="2:7" s="130" customFormat="1" ht="15.75">
      <c r="B107" s="61" t="s">
        <v>71</v>
      </c>
      <c r="C107" s="65">
        <f>SUM(C99:C105)*Assumptions!$C$55</f>
        <v>643177.5433096958</v>
      </c>
      <c r="F107" s="61" t="s">
        <v>71</v>
      </c>
      <c r="G107" s="65">
        <f>SUM(G99:G105)*Assumptions!$C$55</f>
        <v>1679276.3612551026</v>
      </c>
    </row>
    <row r="108" spans="2:7" s="130" customFormat="1" ht="15.75">
      <c r="B108" s="60" t="s">
        <v>72</v>
      </c>
      <c r="C108" s="65">
        <f>SUM(C99:C107)</f>
        <v>20742475.77173769</v>
      </c>
      <c r="F108" s="60" t="s">
        <v>72</v>
      </c>
      <c r="G108" s="65">
        <f>SUM(G99:G107)</f>
        <v>54156662.65047705</v>
      </c>
    </row>
    <row r="109" spans="2:7" s="130" customFormat="1" ht="15.75">
      <c r="B109" s="64" t="s">
        <v>75</v>
      </c>
      <c r="C109" s="28"/>
      <c r="F109" s="64" t="s">
        <v>75</v>
      </c>
      <c r="G109" s="28"/>
    </row>
    <row r="110" spans="2:7" s="130" customFormat="1" ht="15.75">
      <c r="B110" s="62" t="s">
        <v>155</v>
      </c>
      <c r="C110" s="68">
        <f>C108*Assumptions!$C$65</f>
        <v>6845017.004673438</v>
      </c>
      <c r="F110" s="62" t="s">
        <v>155</v>
      </c>
      <c r="G110" s="68">
        <f>G108*Assumptions!$C$65</f>
        <v>17871698.674657427</v>
      </c>
    </row>
    <row r="111" spans="2:7" s="130" customFormat="1" ht="15.75">
      <c r="B111" s="62" t="s">
        <v>74</v>
      </c>
      <c r="C111" s="68">
        <f>(C97-SUM(C108,C110))/(1+Assumptions!$C$65)</f>
        <v>3759480.8522100146</v>
      </c>
      <c r="F111" s="62" t="s">
        <v>74</v>
      </c>
      <c r="G111" s="68">
        <f>(G97-SUM(G108,G110))/(1+Assumptions!$C$65)</f>
        <v>-4647554.420644577</v>
      </c>
    </row>
    <row r="112" spans="2:7" s="130" customFormat="1" ht="15.75">
      <c r="B112" s="62" t="s">
        <v>259</v>
      </c>
      <c r="C112" s="68">
        <f>IF(C86&gt;0,C111/C86,0)</f>
        <v>37.594808522100145</v>
      </c>
      <c r="F112" s="62" t="s">
        <v>259</v>
      </c>
      <c r="G112" s="68">
        <f>IF(G86&gt;0,G111/G86,0)</f>
        <v>-46.47554420644577</v>
      </c>
    </row>
    <row r="113" spans="2:7" s="130" customFormat="1" ht="15.75">
      <c r="B113" s="62" t="s">
        <v>76</v>
      </c>
      <c r="C113" s="70" t="str">
        <f>IF(C88=0,0,IF(C111&gt;0,"Feasible",IF(AND(C85&gt;0,C111&lt;1),"No",0)))</f>
        <v>Feasible</v>
      </c>
      <c r="F113" s="62" t="s">
        <v>76</v>
      </c>
      <c r="G113" s="70" t="str">
        <f>IF(G88=0,0,IF(G111&gt;0,"Feasible",IF(AND(G85&gt;0,G111&lt;1),"No",0)))</f>
        <v>No</v>
      </c>
    </row>
    <row r="114" s="130" customFormat="1" ht="15.75"/>
    <row r="115" s="2" customFormat="1" ht="15.75">
      <c r="A115" s="48" t="s">
        <v>366</v>
      </c>
    </row>
    <row r="116" spans="2:7" s="7" customFormat="1" ht="15.75">
      <c r="B116" s="7" t="s">
        <v>412</v>
      </c>
      <c r="C116" s="46"/>
      <c r="E116" s="7" t="s">
        <v>395</v>
      </c>
      <c r="G116" s="46"/>
    </row>
    <row r="117" spans="2:7" s="167" customFormat="1" ht="15.75">
      <c r="B117" s="193"/>
      <c r="C117" s="194"/>
      <c r="E117" s="130"/>
      <c r="F117" s="130"/>
      <c r="G117" s="133"/>
    </row>
    <row r="118" spans="2:7" s="130" customFormat="1" ht="15.75">
      <c r="B118" s="64" t="s">
        <v>55</v>
      </c>
      <c r="C118" s="133"/>
      <c r="F118" s="47" t="s">
        <v>55</v>
      </c>
      <c r="G118" s="133"/>
    </row>
    <row r="119" spans="2:7" s="130" customFormat="1" ht="15.75">
      <c r="B119" s="38" t="s">
        <v>422</v>
      </c>
      <c r="C119" s="197">
        <v>1</v>
      </c>
      <c r="F119" s="38" t="s">
        <v>422</v>
      </c>
      <c r="G119" s="197">
        <v>1</v>
      </c>
    </row>
    <row r="120" spans="2:7" s="130" customFormat="1" ht="15.75">
      <c r="B120" s="38" t="s">
        <v>168</v>
      </c>
      <c r="C120" s="197">
        <v>0</v>
      </c>
      <c r="F120" s="38" t="s">
        <v>168</v>
      </c>
      <c r="G120" s="197">
        <v>0</v>
      </c>
    </row>
    <row r="121" spans="2:7" s="130" customFormat="1" ht="15.75">
      <c r="B121" s="38" t="s">
        <v>179</v>
      </c>
      <c r="C121" s="162">
        <v>5</v>
      </c>
      <c r="F121" s="38" t="s">
        <v>179</v>
      </c>
      <c r="G121" s="159">
        <v>7</v>
      </c>
    </row>
    <row r="122" spans="2:7" s="130" customFormat="1" ht="15.75">
      <c r="B122" s="38" t="s">
        <v>178</v>
      </c>
      <c r="C122" s="162">
        <v>31800</v>
      </c>
      <c r="F122" s="38" t="s">
        <v>178</v>
      </c>
      <c r="G122" s="160">
        <v>39600</v>
      </c>
    </row>
    <row r="123" spans="2:7" s="130" customFormat="1" ht="15.75">
      <c r="B123" s="38" t="s">
        <v>357</v>
      </c>
      <c r="C123" s="160">
        <f>C122*0.25</f>
        <v>7950</v>
      </c>
      <c r="F123" s="38" t="s">
        <v>357</v>
      </c>
      <c r="G123" s="160">
        <f>G122*0.25</f>
        <v>9900</v>
      </c>
    </row>
    <row r="124" spans="2:7" s="130" customFormat="1" ht="15.75">
      <c r="B124" s="38" t="s">
        <v>180</v>
      </c>
      <c r="C124" s="162">
        <v>2</v>
      </c>
      <c r="F124" s="38" t="s">
        <v>180</v>
      </c>
      <c r="G124" s="161">
        <v>1.5</v>
      </c>
    </row>
    <row r="125" spans="2:7" s="130" customFormat="1" ht="15.75">
      <c r="B125" s="63" t="s">
        <v>56</v>
      </c>
      <c r="C125" s="184">
        <v>0</v>
      </c>
      <c r="F125" s="63" t="s">
        <v>56</v>
      </c>
      <c r="G125" s="184">
        <v>0</v>
      </c>
    </row>
    <row r="126" spans="2:7" s="130" customFormat="1" ht="15.75">
      <c r="B126" s="63" t="s">
        <v>95</v>
      </c>
      <c r="C126" s="135">
        <f>Assumptions!$C$78</f>
        <v>811.4846932080893</v>
      </c>
      <c r="F126" s="63" t="s">
        <v>95</v>
      </c>
      <c r="G126" s="135">
        <f>Assumptions!$C$78</f>
        <v>811.4846932080893</v>
      </c>
    </row>
    <row r="127" spans="2:7" s="130" customFormat="1" ht="15.75">
      <c r="B127" s="72" t="s">
        <v>57</v>
      </c>
      <c r="C127" s="69">
        <f>C125</f>
        <v>0</v>
      </c>
      <c r="F127" s="63" t="s">
        <v>68</v>
      </c>
      <c r="G127" s="184">
        <v>0</v>
      </c>
    </row>
    <row r="128" spans="2:7" s="130" customFormat="1" ht="15.75">
      <c r="B128" s="74" t="s">
        <v>77</v>
      </c>
      <c r="C128" s="66">
        <f>Assumptions!$C$7</f>
        <v>2.75</v>
      </c>
      <c r="F128" s="72" t="s">
        <v>57</v>
      </c>
      <c r="G128" s="69">
        <f>G125</f>
        <v>0</v>
      </c>
    </row>
    <row r="129" spans="2:7" s="130" customFormat="1" ht="15.75">
      <c r="B129" s="74" t="s">
        <v>58</v>
      </c>
      <c r="C129" s="67">
        <f>C126*C127</f>
        <v>0</v>
      </c>
      <c r="F129" s="74" t="s">
        <v>77</v>
      </c>
      <c r="G129" s="66">
        <f>Assumptions!$C$7</f>
        <v>2.75</v>
      </c>
    </row>
    <row r="130" spans="2:7" s="130" customFormat="1" ht="15.75">
      <c r="B130" s="73" t="s">
        <v>59</v>
      </c>
      <c r="C130" s="68">
        <f>C129*C128*12</f>
        <v>0</v>
      </c>
      <c r="F130" s="74" t="s">
        <v>58</v>
      </c>
      <c r="G130" s="67">
        <f>G126*G128</f>
        <v>0</v>
      </c>
    </row>
    <row r="131" spans="2:7" s="130" customFormat="1" ht="15.75">
      <c r="B131" s="60" t="s">
        <v>78</v>
      </c>
      <c r="C131" s="65">
        <f>C130</f>
        <v>0</v>
      </c>
      <c r="F131" s="73" t="s">
        <v>59</v>
      </c>
      <c r="G131" s="68">
        <f>G130*G129*12</f>
        <v>0</v>
      </c>
    </row>
    <row r="132" spans="2:7" s="130" customFormat="1" ht="15.75">
      <c r="B132" s="61" t="s">
        <v>60</v>
      </c>
      <c r="C132" s="65">
        <f>C131*Assumptions!$C$50</f>
        <v>0</v>
      </c>
      <c r="F132" s="60" t="s">
        <v>78</v>
      </c>
      <c r="G132" s="65">
        <f>G131</f>
        <v>0</v>
      </c>
    </row>
    <row r="133" spans="2:7" s="130" customFormat="1" ht="15.75">
      <c r="B133" s="61" t="s">
        <v>61</v>
      </c>
      <c r="C133" s="65">
        <f>C131*Assumptions!$C$6</f>
        <v>0</v>
      </c>
      <c r="F133" s="61" t="s">
        <v>60</v>
      </c>
      <c r="G133" s="129">
        <f>G132*Assumptions!$C$50</f>
        <v>0</v>
      </c>
    </row>
    <row r="134" spans="2:7" s="130" customFormat="1" ht="15.75">
      <c r="B134" s="60" t="s">
        <v>79</v>
      </c>
      <c r="C134" s="65">
        <f>C131-C132-C133</f>
        <v>0</v>
      </c>
      <c r="F134" s="61" t="s">
        <v>61</v>
      </c>
      <c r="G134" s="129">
        <f>G132*Assumptions!$C$6</f>
        <v>0</v>
      </c>
    </row>
    <row r="135" spans="2:7" s="130" customFormat="1" ht="15.75">
      <c r="B135" s="63" t="s">
        <v>423</v>
      </c>
      <c r="C135" s="160">
        <v>53300</v>
      </c>
      <c r="F135" s="60" t="s">
        <v>79</v>
      </c>
      <c r="G135" s="65">
        <f>G132-G133-G134</f>
        <v>0</v>
      </c>
    </row>
    <row r="136" spans="2:7" s="130" customFormat="1" ht="15.75">
      <c r="B136" s="60" t="s">
        <v>424</v>
      </c>
      <c r="C136" s="65">
        <f>C135*Assumptions!$C$11</f>
        <v>1865500</v>
      </c>
      <c r="F136" s="63" t="s">
        <v>423</v>
      </c>
      <c r="G136" s="160">
        <v>100300</v>
      </c>
    </row>
    <row r="137" spans="2:7" s="130" customFormat="1" ht="15.75">
      <c r="B137" s="61" t="s">
        <v>60</v>
      </c>
      <c r="C137" s="65">
        <f>C136*Assumptions!$C$51</f>
        <v>93275</v>
      </c>
      <c r="F137" s="63" t="s">
        <v>425</v>
      </c>
      <c r="G137" s="136">
        <v>34000</v>
      </c>
    </row>
    <row r="138" spans="2:7" s="130" customFormat="1" ht="15.75">
      <c r="B138" s="61" t="s">
        <v>61</v>
      </c>
      <c r="C138" s="65">
        <f>C136*Assumptions!$C$10</f>
        <v>28728.7</v>
      </c>
      <c r="F138" s="60" t="s">
        <v>424</v>
      </c>
      <c r="G138" s="65">
        <f>G136*Assumptions!$C$11</f>
        <v>3510500</v>
      </c>
    </row>
    <row r="139" spans="2:7" s="130" customFormat="1" ht="15.75">
      <c r="B139" s="60" t="s">
        <v>426</v>
      </c>
      <c r="C139" s="65">
        <f>C136-C137-C138</f>
        <v>1743496.3</v>
      </c>
      <c r="F139" s="61" t="s">
        <v>60</v>
      </c>
      <c r="G139" s="65">
        <f>G138*Assumptions!$C$51</f>
        <v>175525</v>
      </c>
    </row>
    <row r="140" spans="2:7" s="130" customFormat="1" ht="15.75">
      <c r="B140" s="59" t="s">
        <v>171</v>
      </c>
      <c r="C140" s="58">
        <f>IF(C120=1,(C125*Assumptions!$C$28),(ROUNDUP(('Pro Forma'!C135/Assumptions!$C$39)/1000,0))*Assumptions!$C$29)</f>
        <v>126</v>
      </c>
      <c r="F140" s="61" t="s">
        <v>61</v>
      </c>
      <c r="G140" s="65">
        <f>G138*Assumptions!$C$10</f>
        <v>54061.700000000004</v>
      </c>
    </row>
    <row r="141" spans="2:7" s="130" customFormat="1" ht="15.75">
      <c r="B141" s="128" t="s">
        <v>164</v>
      </c>
      <c r="C141" s="252">
        <v>10</v>
      </c>
      <c r="F141" s="60" t="s">
        <v>426</v>
      </c>
      <c r="G141" s="65">
        <f>G138-G139-G140</f>
        <v>3280913.3</v>
      </c>
    </row>
    <row r="142" spans="2:7" s="130" customFormat="1" ht="15.75">
      <c r="B142" s="128" t="s">
        <v>353</v>
      </c>
      <c r="C142" s="252">
        <v>0</v>
      </c>
      <c r="F142" s="59" t="s">
        <v>171</v>
      </c>
      <c r="G142" s="58">
        <f>IF(G120=1,(G125*Assumptions!$C$28),(ROUNDUP(('Pro Forma'!G136/Assumptions!$C$39)/1000,0))*Assumptions!$C$29)</f>
        <v>236</v>
      </c>
    </row>
    <row r="143" spans="2:7" s="130" customFormat="1" ht="15.75">
      <c r="B143" s="128" t="s">
        <v>354</v>
      </c>
      <c r="C143" s="252">
        <v>0</v>
      </c>
      <c r="F143" s="128" t="s">
        <v>164</v>
      </c>
      <c r="G143" s="254">
        <v>10</v>
      </c>
    </row>
    <row r="144" spans="2:7" s="130" customFormat="1" ht="15.75">
      <c r="B144" s="128" t="s">
        <v>165</v>
      </c>
      <c r="C144" s="252">
        <v>0</v>
      </c>
      <c r="F144" s="253" t="s">
        <v>353</v>
      </c>
      <c r="G144" s="254">
        <v>0</v>
      </c>
    </row>
    <row r="145" spans="2:7" s="130" customFormat="1" ht="15.75">
      <c r="B145" s="128" t="s">
        <v>166</v>
      </c>
      <c r="C145" s="127">
        <f>C140-SUM(C141:C144)</f>
        <v>116</v>
      </c>
      <c r="F145" s="253" t="s">
        <v>354</v>
      </c>
      <c r="G145" s="254">
        <v>0</v>
      </c>
    </row>
    <row r="146" spans="2:7" s="130" customFormat="1" ht="15.75">
      <c r="B146" s="61" t="s">
        <v>82</v>
      </c>
      <c r="C146" s="68">
        <f>IF(C120=1,(Assumptions!$C$12*12*C140),(Assumptions!$C$14*12*C140))</f>
        <v>75600</v>
      </c>
      <c r="F146" s="128" t="s">
        <v>165</v>
      </c>
      <c r="G146" s="254">
        <v>80</v>
      </c>
    </row>
    <row r="147" spans="2:7" s="130" customFormat="1" ht="15.75">
      <c r="B147" s="61" t="s">
        <v>60</v>
      </c>
      <c r="C147" s="68">
        <f>C146*Assumptions!$C$52</f>
        <v>15120</v>
      </c>
      <c r="F147" s="128" t="s">
        <v>166</v>
      </c>
      <c r="G147" s="127">
        <f>G142-SUM(G143:G146)</f>
        <v>146</v>
      </c>
    </row>
    <row r="148" spans="2:7" s="130" customFormat="1" ht="15.75">
      <c r="B148" s="61" t="s">
        <v>61</v>
      </c>
      <c r="C148" s="131">
        <f>IF(C120=1,(C146*Assumptions!$C$13),(C146*Assumptions!$C$15))</f>
        <v>7560</v>
      </c>
      <c r="F148" s="61" t="s">
        <v>82</v>
      </c>
      <c r="G148" s="68">
        <f>IF(G120=1,(Assumptions!$C$12*12*G142),(Assumptions!$C$14*12*G142))</f>
        <v>141600</v>
      </c>
    </row>
    <row r="149" spans="2:7" s="130" customFormat="1" ht="15.75">
      <c r="B149" s="60" t="s">
        <v>80</v>
      </c>
      <c r="C149" s="68">
        <f>C146-C147-C148</f>
        <v>52920</v>
      </c>
      <c r="F149" s="61" t="s">
        <v>60</v>
      </c>
      <c r="G149" s="68">
        <f>G148*Assumptions!$C$52</f>
        <v>28320</v>
      </c>
    </row>
    <row r="150" spans="2:7" s="130" customFormat="1" ht="15.75">
      <c r="B150" s="75" t="s">
        <v>81</v>
      </c>
      <c r="C150" s="49">
        <f>C149+C134+C139</f>
        <v>1796416.3</v>
      </c>
      <c r="F150" s="61" t="s">
        <v>61</v>
      </c>
      <c r="G150" s="68">
        <f>IF(G120=1,(G148*Assumptions!$C$13),(G148*Assumptions!$C$15))</f>
        <v>14160</v>
      </c>
    </row>
    <row r="151" spans="2:7" s="130" customFormat="1" ht="15.75">
      <c r="B151" s="64" t="s">
        <v>62</v>
      </c>
      <c r="C151" s="25"/>
      <c r="F151" s="60" t="s">
        <v>80</v>
      </c>
      <c r="G151" s="68">
        <f>G148-G149-G150</f>
        <v>99120</v>
      </c>
    </row>
    <row r="152" spans="2:7" s="130" customFormat="1" ht="15.75">
      <c r="B152" s="60" t="s">
        <v>173</v>
      </c>
      <c r="C152" s="295">
        <f>IF(C119=1,0,IF(AND(C144&lt;1,C121&lt;4),Assumptions!$C$40,IF(AND(C144&lt;1,C121&gt;3),Assumptions!$C$41,IF(AND(C144&gt;0,C121&lt;4),Assumptions!$C$42,IF(AND(C144&gt;0,C121&gt;=4,C121&lt;=5),Assumptions!$C$42,IF(AND(C144&gt;0,C121&gt;5),Assumptions!$C$43,0))))))</f>
        <v>0</v>
      </c>
      <c r="F152" s="75" t="s">
        <v>81</v>
      </c>
      <c r="G152" s="49">
        <f>G151+G135+G141</f>
        <v>3380033.3</v>
      </c>
    </row>
    <row r="153" spans="2:7" s="130" customFormat="1" ht="15.75">
      <c r="B153" s="60" t="s">
        <v>427</v>
      </c>
      <c r="C153" s="295">
        <f>IF(C120=1,0,IF(C121&lt;3,Assumptions!$C$44,IF(C121&gt;2,Assumptions!$C$45,0)))</f>
        <v>180</v>
      </c>
      <c r="F153" s="64" t="s">
        <v>62</v>
      </c>
      <c r="G153" s="65"/>
    </row>
    <row r="154" spans="2:7" s="130" customFormat="1" ht="15.75">
      <c r="B154" s="59" t="s">
        <v>63</v>
      </c>
      <c r="C154" s="65">
        <f>C152*(C129/Assumptions!$C$38)</f>
        <v>0</v>
      </c>
      <c r="F154" s="60" t="s">
        <v>173</v>
      </c>
      <c r="G154" s="295">
        <f>IF(G119=1,0,IF(AND(G146&lt;1,G121&lt;4),Assumptions!$C$40,IF(AND(G146&lt;1,G121&gt;3),Assumptions!$C$41,IF(AND(G146&gt;0,G121&lt;4),Assumptions!$C$42,IF(AND(G146&gt;0,G121&gt;=4,G121&lt;=5),Assumptions!$C$42,IF(AND(G146&gt;0,G121&gt;5),Assumptions!$C$43,0))))))</f>
        <v>0</v>
      </c>
    </row>
    <row r="155" spans="2:7" s="130" customFormat="1" ht="15.75">
      <c r="B155" s="59" t="s">
        <v>428</v>
      </c>
      <c r="C155" s="65">
        <f>C153*(C135/Assumptions!$C$39)</f>
        <v>11287058.823529411</v>
      </c>
      <c r="F155" s="60" t="s">
        <v>427</v>
      </c>
      <c r="G155" s="295">
        <f>IF(G120=1,0,IF(G121&lt;3,Assumptions!$C$44,IF(G121&gt;2,Assumptions!$C$45,0)))</f>
        <v>180</v>
      </c>
    </row>
    <row r="156" spans="2:7" s="130" customFormat="1" ht="15.75">
      <c r="B156" s="59" t="s">
        <v>162</v>
      </c>
      <c r="C156" s="65">
        <f>C141*Assumptions!$C$31</f>
        <v>70000</v>
      </c>
      <c r="F156" s="59" t="s">
        <v>63</v>
      </c>
      <c r="G156" s="65">
        <f>G154*(G130/Assumptions!$C$38)</f>
        <v>0</v>
      </c>
    </row>
    <row r="157" spans="2:7" s="130" customFormat="1" ht="15.75">
      <c r="B157" s="59" t="s">
        <v>356</v>
      </c>
      <c r="C157" s="65">
        <f>C142*Assumptions!$C$32</f>
        <v>0</v>
      </c>
      <c r="F157" s="59" t="s">
        <v>428</v>
      </c>
      <c r="G157" s="65">
        <f>G155*(G136/Assumptions!$C$39)</f>
        <v>21240000</v>
      </c>
    </row>
    <row r="158" spans="2:7" s="130" customFormat="1" ht="15.75">
      <c r="B158" s="59" t="s">
        <v>163</v>
      </c>
      <c r="C158" s="65">
        <f>C143*Assumptions!$C$33</f>
        <v>0</v>
      </c>
      <c r="F158" s="59" t="s">
        <v>162</v>
      </c>
      <c r="G158" s="65">
        <f>G143*Assumptions!$C$31</f>
        <v>70000</v>
      </c>
    </row>
    <row r="159" spans="2:7" s="130" customFormat="1" ht="15.75">
      <c r="B159" s="59" t="s">
        <v>163</v>
      </c>
      <c r="C159" s="65">
        <f>C144*Assumptions!$C$34</f>
        <v>0</v>
      </c>
      <c r="F159" s="59" t="s">
        <v>356</v>
      </c>
      <c r="G159" s="65">
        <f>G144*Assumptions!$C$32</f>
        <v>0</v>
      </c>
    </row>
    <row r="160" spans="2:7" s="130" customFormat="1" ht="15.75">
      <c r="B160" s="59" t="s">
        <v>167</v>
      </c>
      <c r="C160" s="65">
        <f>C145*Assumptions!$C$35</f>
        <v>4640000</v>
      </c>
      <c r="F160" s="59" t="s">
        <v>163</v>
      </c>
      <c r="G160" s="65">
        <f>G145*Assumptions!$C$33</f>
        <v>0</v>
      </c>
    </row>
    <row r="161" spans="2:7" s="130" customFormat="1" ht="15.75">
      <c r="B161" s="59" t="s">
        <v>64</v>
      </c>
      <c r="C161" s="65">
        <f>IF(C120=1,(C123*Assumptions!$C$46),IF(C119=1,C123*0.85*Assumptions!$C$46,0))</f>
        <v>33787.5</v>
      </c>
      <c r="F161" s="59" t="s">
        <v>163</v>
      </c>
      <c r="G161" s="65">
        <f>G146*Assumptions!$C$34</f>
        <v>2400000</v>
      </c>
    </row>
    <row r="162" spans="2:7" s="130" customFormat="1" ht="15.75">
      <c r="B162" s="61" t="s">
        <v>70</v>
      </c>
      <c r="C162" s="307">
        <f>SUM(C154:C161)*Assumptions!$C$56</f>
        <v>4007711.580882353</v>
      </c>
      <c r="F162" s="59" t="s">
        <v>167</v>
      </c>
      <c r="G162" s="65">
        <f>G147*Assumptions!$C$35</f>
        <v>5840000</v>
      </c>
    </row>
    <row r="163" spans="2:7" s="130" customFormat="1" ht="15.75">
      <c r="B163" s="61" t="s">
        <v>71</v>
      </c>
      <c r="C163" s="307">
        <f>SUM(C154:C161)*Assumptions!$C$55</f>
        <v>641233.8529411765</v>
      </c>
      <c r="F163" s="59" t="s">
        <v>64</v>
      </c>
      <c r="G163" s="65">
        <f>IF(G120=1,(G123*Assumptions!$C$46),IF(G119=1,G123*0.85*Assumptions!$C$46,0))</f>
        <v>42075</v>
      </c>
    </row>
    <row r="164" spans="2:7" s="130" customFormat="1" ht="15.75">
      <c r="B164" s="61" t="s">
        <v>65</v>
      </c>
      <c r="C164" s="65">
        <f>SUM(C154:C161,C162)*Assumptions!$C$57</f>
        <v>801542.3161764705</v>
      </c>
      <c r="F164" s="61" t="s">
        <v>70</v>
      </c>
      <c r="G164" s="307">
        <f>SUM(G156:G163)*Assumptions!$C$56</f>
        <v>7398018.75</v>
      </c>
    </row>
    <row r="165" spans="2:7" s="130" customFormat="1" ht="15.75">
      <c r="B165" s="60" t="s">
        <v>72</v>
      </c>
      <c r="C165" s="65">
        <f>SUM(C154:C164)</f>
        <v>21481334.07352941</v>
      </c>
      <c r="F165" s="61" t="s">
        <v>71</v>
      </c>
      <c r="G165" s="307">
        <f>SUM(G156:G163)*Assumptions!$C$55</f>
        <v>1183683</v>
      </c>
    </row>
    <row r="166" spans="2:7" s="130" customFormat="1" ht="15.75">
      <c r="B166" s="64" t="s">
        <v>75</v>
      </c>
      <c r="C166" s="28"/>
      <c r="F166" s="61" t="s">
        <v>65</v>
      </c>
      <c r="G166" s="65">
        <f>SUM(G156:G163,G164)*Assumptions!$C$57</f>
        <v>1479603.75</v>
      </c>
    </row>
    <row r="167" spans="2:7" s="130" customFormat="1" ht="15.75">
      <c r="B167" s="62" t="s">
        <v>73</v>
      </c>
      <c r="C167" s="153">
        <f>IF(C120=1,(Assumptions!$C$61*(1+Assumptions!$C$63)),IF(C119=1,(Assumptions!$C$62*(1+Assumptions!$C$63)),0))</f>
        <v>0.072</v>
      </c>
      <c r="F167" s="60" t="s">
        <v>72</v>
      </c>
      <c r="G167" s="65">
        <f>SUM(G156:G166)</f>
        <v>39653380.5</v>
      </c>
    </row>
    <row r="168" spans="2:7" s="130" customFormat="1" ht="15.75">
      <c r="B168" s="62" t="s">
        <v>74</v>
      </c>
      <c r="C168" s="65">
        <f>C150/C167-C165</f>
        <v>3468892.3153594807</v>
      </c>
      <c r="F168" s="64" t="s">
        <v>75</v>
      </c>
      <c r="G168" s="28"/>
    </row>
    <row r="169" spans="2:7" s="130" customFormat="1" ht="15.75">
      <c r="B169" s="62" t="s">
        <v>259</v>
      </c>
      <c r="C169" s="68">
        <f>IF(C122&gt;0,C168/C122,0)</f>
        <v>109.08466400501511</v>
      </c>
      <c r="F169" s="62" t="s">
        <v>73</v>
      </c>
      <c r="G169" s="153">
        <f>IF(G120=1,(Assumptions!$C$61*(1+Assumptions!$C$63)),IF(G119=1,(Assumptions!$C$62*(1+Assumptions!$C$63)),0))</f>
        <v>0.072</v>
      </c>
    </row>
    <row r="170" spans="2:7" s="130" customFormat="1" ht="15.75">
      <c r="B170" s="62" t="s">
        <v>76</v>
      </c>
      <c r="C170" s="70" t="str">
        <f>IF(C168&gt;0,"Feasible",IF(AND(C121&gt;0,C168&lt;1),"No",0))</f>
        <v>Feasible</v>
      </c>
      <c r="F170" s="62" t="s">
        <v>74</v>
      </c>
      <c r="G170" s="65">
        <f>G152/G169-G167</f>
        <v>7291526.444444448</v>
      </c>
    </row>
    <row r="171" spans="5:7" ht="15.75">
      <c r="E171" s="130"/>
      <c r="F171" s="62" t="s">
        <v>259</v>
      </c>
      <c r="G171" s="68">
        <f>IF(G122&gt;0,G170/G122,0)</f>
        <v>184.12945566778907</v>
      </c>
    </row>
    <row r="172" spans="6:7" s="130" customFormat="1" ht="15.75">
      <c r="F172" s="62" t="s">
        <v>76</v>
      </c>
      <c r="G172" s="70" t="str">
        <f>IF(G170&gt;0,"Feasible",IF(AND(G121&gt;0,G170&lt;1),"No",0))</f>
        <v>Feasible</v>
      </c>
    </row>
    <row r="173" spans="5:7" s="130" customFormat="1" ht="15.75">
      <c r="E173" s="25"/>
      <c r="F173" s="25"/>
      <c r="G173" s="26"/>
    </row>
    <row r="174" s="130" customFormat="1" ht="15.75"/>
    <row r="175" s="195" customFormat="1" ht="15.75"/>
    <row r="176" s="130" customFormat="1" ht="15.75"/>
    <row r="177" s="130" customFormat="1" ht="15.75"/>
    <row r="178" s="130" customFormat="1" ht="15.75"/>
    <row r="179" s="130" customFormat="1" ht="15.75"/>
    <row r="180" s="130" customFormat="1" ht="15.75"/>
    <row r="181" s="130" customFormat="1" ht="15.75"/>
    <row r="182" s="130" customFormat="1" ht="15.75"/>
    <row r="183" s="130" customFormat="1" ht="15.75"/>
    <row r="184" s="130" customFormat="1" ht="15.75"/>
    <row r="185" s="130" customFormat="1" ht="15.75"/>
    <row r="186" s="130" customFormat="1" ht="15.75"/>
    <row r="187" s="130" customFormat="1" ht="15.75"/>
    <row r="188" s="130" customFormat="1" ht="15.75"/>
    <row r="189" s="130" customFormat="1" ht="15.75"/>
    <row r="190" s="130" customFormat="1" ht="15.75"/>
    <row r="191" s="130" customFormat="1" ht="15.75"/>
    <row r="192" s="130" customFormat="1" ht="15.75"/>
    <row r="193" s="130" customFormat="1" ht="15.75"/>
    <row r="194" s="130" customFormat="1" ht="15.75"/>
    <row r="195" s="130" customFormat="1" ht="15.75"/>
    <row r="196" s="130" customFormat="1" ht="15.75"/>
    <row r="197" s="130" customFormat="1" ht="15.75"/>
    <row r="198" s="130" customFormat="1" ht="15.75"/>
    <row r="199" s="130" customFormat="1" ht="15.75"/>
    <row r="200" s="130" customFormat="1" ht="15.75"/>
    <row r="201" s="130" customFormat="1" ht="15.75"/>
    <row r="202" s="130" customFormat="1" ht="15.75"/>
    <row r="203" s="130" customFormat="1" ht="15.75"/>
    <row r="204" s="130" customFormat="1" ht="15.75"/>
    <row r="205" s="130" customFormat="1" ht="15.75"/>
    <row r="206" s="130" customFormat="1" ht="15.75"/>
    <row r="207" s="130" customFormat="1" ht="15.75"/>
    <row r="208" s="130" customFormat="1" ht="15.75"/>
    <row r="209" s="130" customFormat="1" ht="15.75"/>
    <row r="210" s="130" customFormat="1" ht="15.75"/>
    <row r="211" s="130" customFormat="1" ht="15.75"/>
    <row r="212" s="130" customFormat="1" ht="15.75"/>
    <row r="213" s="130" customFormat="1" ht="15.75"/>
    <row r="214" s="130" customFormat="1" ht="15.75"/>
    <row r="215" s="130" customFormat="1" ht="15.75"/>
    <row r="216" s="130" customFormat="1" ht="15.75"/>
    <row r="217" s="130" customFormat="1" ht="15.75"/>
    <row r="218" s="130" customFormat="1" ht="15.75"/>
    <row r="219" s="130" customFormat="1" ht="15.75"/>
    <row r="220" s="130" customFormat="1" ht="15.75"/>
    <row r="221" s="130" customFormat="1" ht="15.75"/>
    <row r="222" s="130" customFormat="1" ht="15.75"/>
    <row r="223" s="130" customFormat="1" ht="15.75"/>
  </sheetData>
  <sheetProtection/>
  <mergeCells count="1">
    <mergeCell ref="A2:H2"/>
  </mergeCells>
  <printOptions/>
  <pageMargins left="0.75" right="0.75" top="1" bottom="1" header="0.5" footer="0.5"/>
  <pageSetup orientation="portrait" scale="37"/>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AR58"/>
  <sheetViews>
    <sheetView zoomScalePageLayoutView="0" workbookViewId="0" topLeftCell="A1">
      <selection activeCell="B50" sqref="B50"/>
    </sheetView>
  </sheetViews>
  <sheetFormatPr defaultColWidth="10.875" defaultRowHeight="15.75"/>
  <cols>
    <col min="1" max="1" width="2.875" style="78" customWidth="1"/>
    <col min="2" max="2" width="55.875" style="78" bestFit="1" customWidth="1"/>
    <col min="3" max="3" width="21.625" style="78" bestFit="1" customWidth="1"/>
    <col min="4" max="4" width="14.875" style="78" customWidth="1"/>
    <col min="5" max="5" width="2.875" style="78" customWidth="1"/>
    <col min="6" max="6" width="21.00390625" style="78" customWidth="1"/>
    <col min="7" max="7" width="12.625" style="78" bestFit="1" customWidth="1"/>
    <col min="8" max="8" width="16.50390625" style="78" bestFit="1" customWidth="1"/>
    <col min="9" max="9" width="12.625" style="78" bestFit="1" customWidth="1"/>
    <col min="10" max="10" width="2.875" style="78" customWidth="1"/>
    <col min="11" max="11" width="16.625" style="78" bestFit="1" customWidth="1"/>
    <col min="12" max="12" width="12.625" style="78" bestFit="1" customWidth="1"/>
    <col min="13" max="16384" width="10.875" style="78" customWidth="1"/>
  </cols>
  <sheetData>
    <row r="1" s="140" customFormat="1" ht="26.25">
      <c r="A1" s="139" t="str">
        <f ca="1">MID(CELL("filename",A1),FIND("]",CELL("filename",A1))+1,255)</f>
        <v>Policy</v>
      </c>
    </row>
    <row r="2" spans="1:44" s="2" customFormat="1" ht="45.75" customHeight="1">
      <c r="A2" s="311" t="str">
        <f>Overview!C18</f>
        <v>This tab includes the tables found in CodeNEXT Chapter 23-3E: "Affordable Housing" that spell out the affordability requirements proposed in Draft 3. Based on results from the 'Pro Forma' tab, the calculations on this tab determine the set-aside percents for both rental and ownership projects.</v>
      </c>
      <c r="B2" s="311"/>
      <c r="C2" s="311"/>
      <c r="D2" s="311"/>
      <c r="E2" s="311"/>
      <c r="F2" s="311"/>
      <c r="G2" s="311"/>
      <c r="H2" s="213"/>
      <c r="I2" s="213"/>
      <c r="J2" s="213"/>
      <c r="K2" s="213"/>
      <c r="L2" s="213"/>
      <c r="M2" s="3"/>
      <c r="N2" s="3"/>
      <c r="O2" s="3"/>
      <c r="P2" s="3"/>
      <c r="Q2" s="3"/>
      <c r="R2" s="3"/>
      <c r="S2" s="3"/>
      <c r="T2" s="3"/>
      <c r="AJ2" s="3"/>
      <c r="AK2" s="3"/>
      <c r="AL2" s="3"/>
      <c r="AM2" s="3"/>
      <c r="AN2" s="3"/>
      <c r="AO2" s="3"/>
      <c r="AP2" s="3"/>
      <c r="AQ2" s="3"/>
      <c r="AR2" s="3"/>
    </row>
    <row r="3" spans="1:44" s="10" customFormat="1" ht="15.75">
      <c r="A3" s="7"/>
      <c r="B3" s="8"/>
      <c r="C3" s="8"/>
      <c r="D3" s="8"/>
      <c r="E3" s="52"/>
      <c r="G3" s="8"/>
      <c r="H3" s="8"/>
      <c r="I3" s="8"/>
      <c r="J3" s="8"/>
      <c r="K3" s="8"/>
      <c r="L3" s="9"/>
      <c r="M3" s="9"/>
      <c r="N3" s="9"/>
      <c r="O3" s="9"/>
      <c r="P3" s="9"/>
      <c r="Q3" s="9"/>
      <c r="R3" s="9"/>
      <c r="S3" s="9"/>
      <c r="T3" s="9"/>
      <c r="Y3" s="9"/>
      <c r="Z3" s="9"/>
      <c r="AA3" s="9"/>
      <c r="AB3" s="9"/>
      <c r="AD3" s="9"/>
      <c r="AE3" s="9"/>
      <c r="AF3" s="9"/>
      <c r="AG3" s="9"/>
      <c r="AH3" s="9"/>
      <c r="AI3" s="9"/>
      <c r="AJ3" s="9"/>
      <c r="AK3" s="9"/>
      <c r="AL3" s="9"/>
      <c r="AM3" s="9"/>
      <c r="AN3" s="9"/>
      <c r="AO3" s="9"/>
      <c r="AP3" s="9"/>
      <c r="AQ3" s="9"/>
      <c r="AR3" s="9"/>
    </row>
    <row r="4" spans="1:44" s="174" customFormat="1" ht="15.75">
      <c r="A4" s="130"/>
      <c r="B4" s="204"/>
      <c r="C4" s="204"/>
      <c r="D4" s="204"/>
      <c r="E4" s="205"/>
      <c r="G4" s="204"/>
      <c r="H4" s="204"/>
      <c r="I4" s="204"/>
      <c r="J4" s="204"/>
      <c r="K4" s="204"/>
      <c r="L4" s="175"/>
      <c r="M4" s="175"/>
      <c r="N4" s="175"/>
      <c r="O4" s="175"/>
      <c r="P4" s="175"/>
      <c r="Q4" s="175"/>
      <c r="R4" s="175"/>
      <c r="S4" s="175"/>
      <c r="T4" s="175"/>
      <c r="Y4" s="175"/>
      <c r="Z4" s="175"/>
      <c r="AA4" s="175"/>
      <c r="AB4" s="175"/>
      <c r="AD4" s="175"/>
      <c r="AE4" s="175"/>
      <c r="AF4" s="175"/>
      <c r="AG4" s="175"/>
      <c r="AH4" s="175"/>
      <c r="AI4" s="175"/>
      <c r="AJ4" s="175"/>
      <c r="AK4" s="175"/>
      <c r="AL4" s="175"/>
      <c r="AM4" s="175"/>
      <c r="AN4" s="175"/>
      <c r="AO4" s="175"/>
      <c r="AP4" s="175"/>
      <c r="AQ4" s="175"/>
      <c r="AR4" s="175"/>
    </row>
    <row r="5" spans="1:44" s="174" customFormat="1" ht="15.75">
      <c r="A5" s="277" t="s">
        <v>393</v>
      </c>
      <c r="B5" s="204"/>
      <c r="C5" s="312" t="s">
        <v>383</v>
      </c>
      <c r="D5" s="312"/>
      <c r="E5" s="205"/>
      <c r="F5" s="312" t="s">
        <v>384</v>
      </c>
      <c r="G5" s="312"/>
      <c r="H5" s="204"/>
      <c r="I5" s="204"/>
      <c r="J5" s="204"/>
      <c r="K5" s="204"/>
      <c r="L5" s="175"/>
      <c r="M5" s="175"/>
      <c r="N5" s="175"/>
      <c r="O5" s="175"/>
      <c r="P5" s="175"/>
      <c r="Q5" s="175"/>
      <c r="R5" s="175"/>
      <c r="S5" s="175"/>
      <c r="T5" s="175"/>
      <c r="Y5" s="175"/>
      <c r="Z5" s="175"/>
      <c r="AA5" s="175"/>
      <c r="AB5" s="175"/>
      <c r="AD5" s="175"/>
      <c r="AE5" s="175"/>
      <c r="AF5" s="175"/>
      <c r="AG5" s="175"/>
      <c r="AH5" s="175"/>
      <c r="AI5" s="175"/>
      <c r="AJ5" s="175"/>
      <c r="AK5" s="175"/>
      <c r="AL5" s="175"/>
      <c r="AM5" s="175"/>
      <c r="AN5" s="175"/>
      <c r="AO5" s="175"/>
      <c r="AP5" s="175"/>
      <c r="AQ5" s="175"/>
      <c r="AR5" s="175"/>
    </row>
    <row r="6" spans="1:44" s="174" customFormat="1" ht="15.75">
      <c r="A6" s="130"/>
      <c r="B6" s="204"/>
      <c r="C6" s="204"/>
      <c r="D6" s="204"/>
      <c r="E6" s="205"/>
      <c r="G6" s="204"/>
      <c r="H6" s="204"/>
      <c r="I6" s="204"/>
      <c r="J6" s="204"/>
      <c r="K6" s="204"/>
      <c r="L6" s="175"/>
      <c r="M6" s="175"/>
      <c r="N6" s="175"/>
      <c r="O6" s="175"/>
      <c r="P6" s="175"/>
      <c r="Q6" s="175"/>
      <c r="R6" s="175"/>
      <c r="S6" s="175"/>
      <c r="T6" s="175"/>
      <c r="Y6" s="175"/>
      <c r="Z6" s="175"/>
      <c r="AA6" s="175"/>
      <c r="AB6" s="175"/>
      <c r="AD6" s="175"/>
      <c r="AE6" s="175"/>
      <c r="AF6" s="175"/>
      <c r="AG6" s="175"/>
      <c r="AH6" s="175"/>
      <c r="AI6" s="175"/>
      <c r="AJ6" s="175"/>
      <c r="AK6" s="175"/>
      <c r="AL6" s="175"/>
      <c r="AM6" s="175"/>
      <c r="AN6" s="175"/>
      <c r="AO6" s="175"/>
      <c r="AP6" s="175"/>
      <c r="AQ6" s="175"/>
      <c r="AR6" s="175"/>
    </row>
    <row r="7" spans="2:7" s="206" customFormat="1" ht="15.75" thickBot="1">
      <c r="B7" s="212" t="s">
        <v>318</v>
      </c>
      <c r="C7" s="263" t="s">
        <v>281</v>
      </c>
      <c r="D7" s="263" t="s">
        <v>364</v>
      </c>
      <c r="E7" s="263"/>
      <c r="F7" s="263" t="s">
        <v>279</v>
      </c>
      <c r="G7" s="263" t="s">
        <v>359</v>
      </c>
    </row>
    <row r="8" spans="3:7" ht="15">
      <c r="C8" s="264" t="s">
        <v>360</v>
      </c>
      <c r="D8" s="265" t="s">
        <v>283</v>
      </c>
      <c r="E8" s="266"/>
      <c r="F8" s="264" t="s">
        <v>360</v>
      </c>
      <c r="G8" s="265" t="s">
        <v>283</v>
      </c>
    </row>
    <row r="9" spans="3:7" ht="15.75">
      <c r="C9" s="267">
        <v>0.05</v>
      </c>
      <c r="D9" s="268" t="s">
        <v>286</v>
      </c>
      <c r="E9" s="266"/>
      <c r="F9" s="267">
        <v>0.05</v>
      </c>
      <c r="G9" s="268" t="s">
        <v>284</v>
      </c>
    </row>
    <row r="10" spans="3:7" ht="15.75">
      <c r="C10" s="269">
        <v>0.1</v>
      </c>
      <c r="D10" s="270" t="s">
        <v>290</v>
      </c>
      <c r="E10" s="266"/>
      <c r="F10" s="269">
        <v>0.1</v>
      </c>
      <c r="G10" s="270" t="s">
        <v>288</v>
      </c>
    </row>
    <row r="11" spans="3:7" ht="15.75">
      <c r="C11" s="269">
        <v>0.15</v>
      </c>
      <c r="D11" s="270" t="s">
        <v>294</v>
      </c>
      <c r="E11" s="266"/>
      <c r="F11" s="269">
        <v>0.15</v>
      </c>
      <c r="G11" s="270" t="s">
        <v>292</v>
      </c>
    </row>
    <row r="12" spans="3:7" ht="15.75">
      <c r="C12" s="269">
        <v>0.2</v>
      </c>
      <c r="D12" s="270" t="s">
        <v>298</v>
      </c>
      <c r="E12" s="266"/>
      <c r="F12" s="269">
        <v>0.2</v>
      </c>
      <c r="G12" s="270" t="s">
        <v>296</v>
      </c>
    </row>
    <row r="13" spans="3:7" ht="15.75">
      <c r="C13" s="269">
        <v>0.3</v>
      </c>
      <c r="D13" s="270" t="s">
        <v>302</v>
      </c>
      <c r="E13" s="266"/>
      <c r="F13" s="269">
        <v>0.3</v>
      </c>
      <c r="G13" s="270" t="s">
        <v>300</v>
      </c>
    </row>
    <row r="14" spans="3:7" ht="15.75">
      <c r="C14" s="269">
        <v>0.4</v>
      </c>
      <c r="D14" s="270" t="s">
        <v>306</v>
      </c>
      <c r="E14" s="266"/>
      <c r="F14" s="269">
        <v>0.4</v>
      </c>
      <c r="G14" s="270" t="s">
        <v>304</v>
      </c>
    </row>
    <row r="15" spans="3:9" ht="16.5" thickBot="1">
      <c r="C15" s="271">
        <v>0.5</v>
      </c>
      <c r="D15" s="272" t="s">
        <v>310</v>
      </c>
      <c r="E15" s="266"/>
      <c r="F15" s="271">
        <v>0.5</v>
      </c>
      <c r="G15" s="272" t="s">
        <v>308</v>
      </c>
      <c r="I15" s="121"/>
    </row>
    <row r="16" spans="3:12" ht="15">
      <c r="C16" s="266"/>
      <c r="D16" s="266"/>
      <c r="E16" s="266"/>
      <c r="F16" s="266"/>
      <c r="G16" s="266"/>
      <c r="K16" s="211"/>
      <c r="L16" s="211"/>
    </row>
    <row r="17" spans="2:12" ht="15.75" thickBot="1">
      <c r="B17" s="212" t="s">
        <v>319</v>
      </c>
      <c r="C17" s="263" t="s">
        <v>282</v>
      </c>
      <c r="D17" s="263" t="s">
        <v>362</v>
      </c>
      <c r="E17" s="266"/>
      <c r="F17" s="263" t="s">
        <v>280</v>
      </c>
      <c r="G17" s="263" t="s">
        <v>363</v>
      </c>
      <c r="K17" s="211"/>
      <c r="L17" s="211"/>
    </row>
    <row r="18" spans="3:12" ht="15.75">
      <c r="C18" s="264" t="s">
        <v>361</v>
      </c>
      <c r="D18" s="265" t="s">
        <v>283</v>
      </c>
      <c r="E18" s="266"/>
      <c r="F18" s="264" t="s">
        <v>361</v>
      </c>
      <c r="G18" s="265" t="s">
        <v>283</v>
      </c>
      <c r="I18" s="171"/>
      <c r="K18" s="211"/>
      <c r="L18" s="211"/>
    </row>
    <row r="19" spans="3:12" ht="15.75">
      <c r="C19" s="267">
        <v>0.05</v>
      </c>
      <c r="D19" s="268" t="s">
        <v>287</v>
      </c>
      <c r="E19" s="266"/>
      <c r="F19" s="267">
        <v>0.02</v>
      </c>
      <c r="G19" s="268" t="s">
        <v>285</v>
      </c>
      <c r="K19" s="211"/>
      <c r="L19" s="211"/>
    </row>
    <row r="20" spans="3:12" ht="15.75">
      <c r="C20" s="269">
        <v>0.1</v>
      </c>
      <c r="D20" s="270" t="s">
        <v>291</v>
      </c>
      <c r="E20" s="266"/>
      <c r="F20" s="269">
        <v>0.04</v>
      </c>
      <c r="G20" s="270" t="s">
        <v>289</v>
      </c>
      <c r="K20" s="211"/>
      <c r="L20" s="211"/>
    </row>
    <row r="21" spans="3:12" ht="15.75">
      <c r="C21" s="207">
        <v>0.15</v>
      </c>
      <c r="D21" s="208" t="s">
        <v>295</v>
      </c>
      <c r="F21" s="207">
        <v>0.06</v>
      </c>
      <c r="G21" s="208" t="s">
        <v>293</v>
      </c>
      <c r="K21" s="211"/>
      <c r="L21" s="211"/>
    </row>
    <row r="22" spans="3:12" ht="15.75">
      <c r="C22" s="207">
        <v>0.2</v>
      </c>
      <c r="D22" s="208" t="s">
        <v>299</v>
      </c>
      <c r="F22" s="207">
        <v>0.08</v>
      </c>
      <c r="G22" s="208" t="s">
        <v>297</v>
      </c>
      <c r="K22" s="211"/>
      <c r="L22" s="211"/>
    </row>
    <row r="23" spans="3:12" ht="15.75">
      <c r="C23" s="207">
        <v>0.3</v>
      </c>
      <c r="D23" s="208" t="s">
        <v>303</v>
      </c>
      <c r="F23" s="207">
        <v>0.1</v>
      </c>
      <c r="G23" s="208" t="s">
        <v>301</v>
      </c>
      <c r="K23" s="211"/>
      <c r="L23" s="211"/>
    </row>
    <row r="24" spans="3:12" ht="15.75">
      <c r="C24" s="207">
        <v>0.4</v>
      </c>
      <c r="D24" s="208" t="s">
        <v>307</v>
      </c>
      <c r="F24" s="207">
        <v>0.12</v>
      </c>
      <c r="G24" s="208" t="s">
        <v>305</v>
      </c>
      <c r="K24" s="211"/>
      <c r="L24" s="211"/>
    </row>
    <row r="25" spans="3:12" ht="16.5" thickBot="1">
      <c r="C25" s="209">
        <v>0.5</v>
      </c>
      <c r="D25" s="210" t="s">
        <v>311</v>
      </c>
      <c r="F25" s="209">
        <v>0.14</v>
      </c>
      <c r="G25" s="210" t="s">
        <v>309</v>
      </c>
      <c r="I25" s="121"/>
      <c r="K25" s="211"/>
      <c r="L25" s="211"/>
    </row>
    <row r="26" spans="11:12" ht="15">
      <c r="K26" s="211"/>
      <c r="L26" s="211"/>
    </row>
    <row r="27" spans="1:3" s="2" customFormat="1" ht="15.75">
      <c r="A27" s="48" t="s">
        <v>329</v>
      </c>
      <c r="C27" s="3"/>
    </row>
    <row r="28" s="167" customFormat="1" ht="15.75">
      <c r="C28" s="168"/>
    </row>
    <row r="29" spans="1:4" s="167" customFormat="1" ht="15.75">
      <c r="A29" s="169" t="s">
        <v>258</v>
      </c>
      <c r="B29" s="169"/>
      <c r="C29" s="193" t="s">
        <v>341</v>
      </c>
      <c r="D29" s="168" t="s">
        <v>267</v>
      </c>
    </row>
    <row r="30" spans="2:6" s="170" customFormat="1" ht="15.75">
      <c r="B30" s="172" t="s">
        <v>385</v>
      </c>
      <c r="C30" s="181">
        <f>IF('Pro Forma'!C75=MAX('Pro Forma'!C75,'Pro Forma'!C112,'Pro Forma'!C169),'Pro Forma'!C74,IF('Pro Forma'!C112=MAX('Pro Forma'!C75,'Pro Forma'!C112,'Pro Forma'!C169),'Pro Forma'!C111,IF('Pro Forma'!C169=MAX('Pro Forma'!C75,'Pro Forma'!C112,'Pro Forma'!C169),'Pro Forma'!C168,0)))</f>
        <v>3468892.3153594807</v>
      </c>
      <c r="D30" s="181">
        <f>IF('Pro Forma'!C75=MAX('Pro Forma'!C75,'Pro Forma'!C112,'Pro Forma'!C169),'Pro Forma'!C74,IF('Pro Forma'!C112=MAX('Pro Forma'!C75,'Pro Forma'!C112,'Pro Forma'!C169),'Pro Forma'!C111,IF('Pro Forma'!C169=MAX('Pro Forma'!C75,'Pro Forma'!C112,'Pro Forma'!C169),'Pro Forma'!C168,0)))</f>
        <v>3468892.3153594807</v>
      </c>
      <c r="F30" s="121" t="s">
        <v>430</v>
      </c>
    </row>
    <row r="31" spans="2:6" s="170" customFormat="1" ht="15.75">
      <c r="B31" s="172" t="s">
        <v>386</v>
      </c>
      <c r="C31" s="180">
        <f>'Pro Forma'!G111</f>
        <v>-4647554.420644577</v>
      </c>
      <c r="D31" s="180">
        <f>'Pro Forma'!G76</f>
        <v>6323851.8650768995</v>
      </c>
      <c r="F31" s="121" t="s">
        <v>388</v>
      </c>
    </row>
    <row r="32" spans="2:6" s="170" customFormat="1" ht="15.75">
      <c r="B32" s="172" t="s">
        <v>365</v>
      </c>
      <c r="C32" s="180">
        <f>C31-D30</f>
        <v>-8116446.736004057</v>
      </c>
      <c r="D32" s="180">
        <f>D31-D30</f>
        <v>2854959.549717419</v>
      </c>
      <c r="F32" s="121" t="s">
        <v>93</v>
      </c>
    </row>
    <row r="33" s="170" customFormat="1" ht="15.75">
      <c r="D33" s="172"/>
    </row>
    <row r="34" spans="2:6" s="170" customFormat="1" ht="15.75">
      <c r="B34" s="171" t="s">
        <v>340</v>
      </c>
      <c r="C34" s="180">
        <f>C32*Assumptions!$C$25</f>
        <v>-4058223.3680020287</v>
      </c>
      <c r="D34" s="180">
        <f>D32*Assumptions!$C$25</f>
        <v>1427479.7748587094</v>
      </c>
      <c r="F34" s="121" t="s">
        <v>389</v>
      </c>
    </row>
    <row r="35" spans="2:6" s="170" customFormat="1" ht="15.75">
      <c r="B35" s="171"/>
      <c r="C35" s="180"/>
      <c r="D35" s="180"/>
      <c r="F35" s="121"/>
    </row>
    <row r="36" spans="2:9" s="170" customFormat="1" ht="15.75">
      <c r="B36" s="171" t="s">
        <v>342</v>
      </c>
      <c r="C36" s="181">
        <f>Affordability!$C$102</f>
        <v>71807.55918453052</v>
      </c>
      <c r="D36" s="181">
        <f>Affordability!$C$99</f>
        <v>52953.19118411435</v>
      </c>
      <c r="F36" s="121" t="s">
        <v>390</v>
      </c>
      <c r="I36" s="249"/>
    </row>
    <row r="37" spans="2:9" s="170" customFormat="1" ht="15.75">
      <c r="B37" s="171" t="s">
        <v>343</v>
      </c>
      <c r="C37" s="181">
        <f>Affordability!$C$103</f>
        <v>365168.11194364016</v>
      </c>
      <c r="D37" s="181">
        <f>Affordability!$C$92</f>
        <v>342771.134411097</v>
      </c>
      <c r="F37" s="121" t="s">
        <v>390</v>
      </c>
      <c r="I37" s="249"/>
    </row>
    <row r="38" spans="2:6" s="170" customFormat="1" ht="15.75">
      <c r="B38" s="171" t="s">
        <v>339</v>
      </c>
      <c r="C38" s="180">
        <f>C37-C36</f>
        <v>293360.55275910965</v>
      </c>
      <c r="D38" s="180">
        <f>D37-D36</f>
        <v>289817.9432269826</v>
      </c>
      <c r="F38" s="121" t="s">
        <v>391</v>
      </c>
    </row>
    <row r="39" spans="2:4" s="170" customFormat="1" ht="15.75">
      <c r="B39" s="171"/>
      <c r="D39" s="172"/>
    </row>
    <row r="40" spans="2:6" s="170" customFormat="1" ht="15.75">
      <c r="B40" s="171" t="s">
        <v>387</v>
      </c>
      <c r="C40" s="251">
        <f>IF(OR(C38=0,C34&lt;0),0,C34/C38)</f>
        <v>0</v>
      </c>
      <c r="D40" s="251">
        <f>IF(OR(D38=0,D34&lt;0),0,D34/D38)</f>
        <v>4.925436151276255</v>
      </c>
      <c r="F40" s="121" t="s">
        <v>351</v>
      </c>
    </row>
    <row r="41" spans="2:6" s="170" customFormat="1" ht="15.75">
      <c r="B41" s="275" t="s">
        <v>392</v>
      </c>
      <c r="C41" s="274">
        <f>IF(C40=0,0,C40/'Pro Forma'!G91)</f>
        <v>0</v>
      </c>
      <c r="D41" s="276">
        <f>IF(D40=0,0,D40/'Pro Forma'!G33)</f>
        <v>0.050259552564043415</v>
      </c>
      <c r="F41" s="171"/>
    </row>
    <row r="42" spans="2:6" s="170" customFormat="1" ht="15.75">
      <c r="B42" s="273"/>
      <c r="C42" s="250"/>
      <c r="D42" s="214"/>
      <c r="F42" s="171"/>
    </row>
    <row r="43" spans="2:6" s="170" customFormat="1" ht="16.5" thickBot="1">
      <c r="B43" s="279" t="s">
        <v>396</v>
      </c>
      <c r="C43" s="172"/>
      <c r="F43" s="171"/>
    </row>
    <row r="44" spans="2:4" s="170" customFormat="1" ht="15.75">
      <c r="B44" s="196"/>
      <c r="C44" s="215" t="s">
        <v>316</v>
      </c>
      <c r="D44" s="202" t="s">
        <v>267</v>
      </c>
    </row>
    <row r="45" spans="2:6" s="170" customFormat="1" ht="15.75">
      <c r="B45" s="281" t="s">
        <v>320</v>
      </c>
      <c r="C45" s="214">
        <f>IF(C$41&lt;C10,C9,IF(C$41&lt;C11,C10,IF(C$41&lt;C12,C11,IF(C$41&lt;C13,C12,IF(C$41&lt;C14,C13,IF(C$41&lt;C15,C14,C15))))))</f>
        <v>0.05</v>
      </c>
      <c r="D45" s="216">
        <f>IF(D$41&lt;F10,F9,IF(D$41&lt;F11,F10,IF(D$41&lt;F12,F11,IF(D$41&lt;F13,F12,IF(D$41&lt;F14,F13,IF(D$41&lt;F15,F14,F15))))))</f>
        <v>0.05</v>
      </c>
      <c r="F45" s="255" t="s">
        <v>367</v>
      </c>
    </row>
    <row r="46" spans="2:4" s="170" customFormat="1" ht="15.75">
      <c r="B46" s="308" t="s">
        <v>434</v>
      </c>
      <c r="C46" s="217" t="str">
        <f>LOOKUP(C45,C9:C15,D9:D15)</f>
        <v>T</v>
      </c>
      <c r="D46" s="218" t="str">
        <f>LOOKUP(D45,F9:F15,G9:G15)</f>
        <v>A</v>
      </c>
    </row>
    <row r="47" spans="2:4" s="170" customFormat="1" ht="15.75">
      <c r="B47" s="281" t="s">
        <v>317</v>
      </c>
      <c r="C47" s="214">
        <f>IF(C$41&lt;C20,C19,IF(C$41&lt;C21,C20,IF(C$41&lt;C22,C21,IF(C$41&lt;C23,C22,IF(C$41&lt;C24,C23,IF(C$41&lt;C25,C24,C25))))))</f>
        <v>0.05</v>
      </c>
      <c r="D47" s="216">
        <f>IF(D$41&lt;F20,F19,IF(D$41&lt;F21,F20,IF(D$41&lt;F22,F21,IF(D$41&lt;F23,F22,IF(D$41&lt;F24,F23,IF(D$41&lt;F25,F24,F25))))))</f>
        <v>0.04</v>
      </c>
    </row>
    <row r="48" spans="2:4" s="170" customFormat="1" ht="16.5" thickBot="1">
      <c r="B48" s="309" t="s">
        <v>435</v>
      </c>
      <c r="C48" s="219" t="str">
        <f>LOOKUP(C47,C19:C25,D19:D25)</f>
        <v>TA</v>
      </c>
      <c r="D48" s="220" t="str">
        <f>LOOKUP(D47,F19:F25,G19:G25)</f>
        <v>BA</v>
      </c>
    </row>
    <row r="49" spans="2:3" s="170" customFormat="1" ht="15.75">
      <c r="B49" s="173"/>
      <c r="C49" s="172"/>
    </row>
    <row r="50" ht="15.75" thickBot="1">
      <c r="B50" s="278" t="s">
        <v>397</v>
      </c>
    </row>
    <row r="51" spans="2:4" ht="15.75">
      <c r="B51" s="282"/>
      <c r="C51" s="215" t="s">
        <v>316</v>
      </c>
      <c r="D51" s="202" t="s">
        <v>267</v>
      </c>
    </row>
    <row r="52" spans="2:6" ht="15">
      <c r="B52" s="283" t="s">
        <v>404</v>
      </c>
      <c r="C52" s="211">
        <f>'Pro Forma'!G91</f>
        <v>98</v>
      </c>
      <c r="D52" s="284">
        <f>'Pro Forma'!G33</f>
        <v>98</v>
      </c>
      <c r="F52" s="280" t="s">
        <v>398</v>
      </c>
    </row>
    <row r="53" spans="2:6" ht="15">
      <c r="B53" s="285" t="s">
        <v>402</v>
      </c>
      <c r="C53" s="211"/>
      <c r="D53" s="284"/>
      <c r="F53" s="280"/>
    </row>
    <row r="54" spans="2:6" ht="15">
      <c r="B54" s="286" t="s">
        <v>401</v>
      </c>
      <c r="C54" s="292">
        <f>ROUNDUP(C$52*C45,0)</f>
        <v>5</v>
      </c>
      <c r="D54" s="293">
        <f>ROUNDUP(D$52*D45,0)</f>
        <v>5</v>
      </c>
      <c r="F54" s="280" t="s">
        <v>399</v>
      </c>
    </row>
    <row r="55" spans="2:6" ht="15">
      <c r="B55" s="286" t="s">
        <v>400</v>
      </c>
      <c r="C55" s="287">
        <f>C54/C$52</f>
        <v>0.05102040816326531</v>
      </c>
      <c r="D55" s="288">
        <f>D54/D$52</f>
        <v>0.05102040816326531</v>
      </c>
      <c r="F55" s="280"/>
    </row>
    <row r="56" spans="2:6" ht="15">
      <c r="B56" s="285" t="s">
        <v>403</v>
      </c>
      <c r="C56" s="211"/>
      <c r="D56" s="284"/>
      <c r="F56" s="280"/>
    </row>
    <row r="57" spans="2:6" ht="15">
      <c r="B57" s="286" t="s">
        <v>433</v>
      </c>
      <c r="C57" s="292">
        <f>ROUNDUP(C$52*C47,0)</f>
        <v>5</v>
      </c>
      <c r="D57" s="293">
        <f>ROUNDUP(D$52*D47,0)</f>
        <v>4</v>
      </c>
      <c r="F57" s="280" t="s">
        <v>399</v>
      </c>
    </row>
    <row r="58" spans="2:4" ht="15.75" thickBot="1">
      <c r="B58" s="289" t="s">
        <v>400</v>
      </c>
      <c r="C58" s="290">
        <f>C57/C$52</f>
        <v>0.05102040816326531</v>
      </c>
      <c r="D58" s="291">
        <f>D57/D$52</f>
        <v>0.04081632653061224</v>
      </c>
    </row>
  </sheetData>
  <sheetProtection/>
  <mergeCells count="3">
    <mergeCell ref="A2:G2"/>
    <mergeCell ref="C5:D5"/>
    <mergeCell ref="F5:G5"/>
  </mergeCells>
  <printOptions/>
  <pageMargins left="0.75" right="0.75" top="1" bottom="1" header="0.5" footer="0.5"/>
  <pageSetup orientation="portrait" scale="65"/>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AU224"/>
  <sheetViews>
    <sheetView zoomScalePageLayoutView="0" workbookViewId="0" topLeftCell="A1">
      <selection activeCell="G4" sqref="G4"/>
    </sheetView>
  </sheetViews>
  <sheetFormatPr defaultColWidth="10.875" defaultRowHeight="15.75"/>
  <cols>
    <col min="1" max="1" width="4.00390625" style="28" customWidth="1"/>
    <col min="2" max="2" width="19.625" style="28" bestFit="1" customWidth="1"/>
    <col min="3" max="8" width="18.50390625" style="28" customWidth="1"/>
    <col min="9" max="16384" width="10.875" style="28" customWidth="1"/>
  </cols>
  <sheetData>
    <row r="1" s="140" customFormat="1" ht="26.25">
      <c r="A1" s="139" t="str">
        <f ca="1">MID(CELL("filename",A1),FIND("]",CELL("filename",A1))+1,255)</f>
        <v>Local Data</v>
      </c>
    </row>
    <row r="2" spans="1:47" s="2" customFormat="1" ht="43.5" customHeight="1">
      <c r="A2" s="310" t="str">
        <f>Overview!C19</f>
        <v>This tab contains average rents and vacancies by census tract based on multiple data sources (CoStar, Capitol Market Research, real estate industry feedback). Users can apply these numbers in the 'Assumptions' tab to simulate the relative changes in feasibility by location. Feedback on these average values informed ECONorthwest's policy calculations, which used values based on new properties and distinguished by project characteristics.</v>
      </c>
      <c r="B2" s="310"/>
      <c r="C2" s="310"/>
      <c r="D2" s="310"/>
      <c r="E2" s="310"/>
      <c r="F2" s="310"/>
      <c r="G2" s="310"/>
      <c r="H2" s="310"/>
      <c r="I2" s="203"/>
      <c r="J2" s="203"/>
      <c r="K2" s="203"/>
      <c r="L2" s="203"/>
      <c r="M2" s="5"/>
      <c r="N2" s="3"/>
      <c r="O2" s="3"/>
      <c r="P2" s="3"/>
      <c r="Q2" s="3"/>
      <c r="R2" s="3"/>
      <c r="S2" s="3"/>
      <c r="T2" s="3"/>
      <c r="U2" s="3"/>
      <c r="V2" s="3"/>
      <c r="W2" s="3"/>
      <c r="AM2" s="3"/>
      <c r="AN2" s="3"/>
      <c r="AO2" s="3"/>
      <c r="AP2" s="3"/>
      <c r="AQ2" s="3"/>
      <c r="AR2" s="3"/>
      <c r="AS2" s="3"/>
      <c r="AT2" s="3"/>
      <c r="AU2" s="3"/>
    </row>
    <row r="3" spans="2:47" s="10" customFormat="1" ht="15.75">
      <c r="B3" s="7"/>
      <c r="C3" s="8"/>
      <c r="D3" s="8"/>
      <c r="E3" s="8"/>
      <c r="F3" s="52"/>
      <c r="G3" s="8"/>
      <c r="H3" s="8"/>
      <c r="I3" s="8"/>
      <c r="J3" s="8"/>
      <c r="K3" s="8"/>
      <c r="L3" s="9"/>
      <c r="M3" s="8"/>
      <c r="N3" s="9"/>
      <c r="O3" s="9"/>
      <c r="P3" s="9"/>
      <c r="Q3" s="9"/>
      <c r="R3" s="9"/>
      <c r="S3" s="9"/>
      <c r="T3" s="9"/>
      <c r="U3" s="9"/>
      <c r="V3" s="9"/>
      <c r="W3" s="9"/>
      <c r="AB3" s="9"/>
      <c r="AC3" s="9"/>
      <c r="AD3" s="9"/>
      <c r="AE3" s="9"/>
      <c r="AG3" s="9"/>
      <c r="AH3" s="9"/>
      <c r="AI3" s="9"/>
      <c r="AJ3" s="9"/>
      <c r="AK3" s="9"/>
      <c r="AL3" s="9"/>
      <c r="AM3" s="9"/>
      <c r="AN3" s="9"/>
      <c r="AO3" s="9"/>
      <c r="AP3" s="9"/>
      <c r="AQ3" s="9"/>
      <c r="AR3" s="9"/>
      <c r="AS3" s="9"/>
      <c r="AT3" s="9"/>
      <c r="AU3" s="9"/>
    </row>
    <row r="4" spans="2:8" ht="47.25">
      <c r="B4" s="185" t="s">
        <v>269</v>
      </c>
      <c r="C4" s="186" t="s">
        <v>15</v>
      </c>
      <c r="D4" s="186" t="s">
        <v>17</v>
      </c>
      <c r="E4" s="186" t="s">
        <v>18</v>
      </c>
      <c r="F4" s="186" t="s">
        <v>25</v>
      </c>
      <c r="G4" s="186" t="s">
        <v>19</v>
      </c>
      <c r="H4" s="186" t="s">
        <v>20</v>
      </c>
    </row>
    <row r="5" spans="2:8" ht="15.75">
      <c r="B5" s="28">
        <v>48453001603</v>
      </c>
      <c r="C5" s="243">
        <v>0.0436398220542843</v>
      </c>
      <c r="D5" s="244">
        <v>1.33933982225367</v>
      </c>
      <c r="E5" s="244">
        <v>200.446823111885</v>
      </c>
      <c r="F5" s="244">
        <v>0.067325268967985</v>
      </c>
      <c r="G5" s="243">
        <v>0.100306584526743</v>
      </c>
      <c r="H5" s="244">
        <v>18.4525517400852</v>
      </c>
    </row>
    <row r="6" spans="2:8" ht="15.75">
      <c r="B6" s="27">
        <v>48453001605</v>
      </c>
      <c r="C6" s="243">
        <v>0.0444243188330705</v>
      </c>
      <c r="D6" s="244">
        <v>1.35062174819243</v>
      </c>
      <c r="E6" s="244">
        <v>211.672266091737</v>
      </c>
      <c r="F6" s="244">
        <v>0.281944550422119</v>
      </c>
      <c r="G6" s="243">
        <v>0.102838034912519</v>
      </c>
      <c r="H6" s="244">
        <v>18.7597414945459</v>
      </c>
    </row>
    <row r="7" spans="2:8" ht="15.75">
      <c r="B7" s="28">
        <v>48453001606</v>
      </c>
      <c r="C7" s="243">
        <v>0.0406964431403507</v>
      </c>
      <c r="D7" s="244">
        <v>1.27568976174992</v>
      </c>
      <c r="E7" s="244">
        <v>185.024118785303</v>
      </c>
      <c r="F7" s="244">
        <v>0.222019</v>
      </c>
      <c r="G7" s="243">
        <v>0.0938685565176033</v>
      </c>
      <c r="H7" s="244">
        <v>17.650932160107</v>
      </c>
    </row>
    <row r="8" spans="2:8" ht="15.75">
      <c r="B8" s="28">
        <v>48453001705</v>
      </c>
      <c r="C8" s="243">
        <v>0.024854470448164002</v>
      </c>
      <c r="D8" s="244">
        <v>0.898916801792251</v>
      </c>
      <c r="E8" s="244">
        <v>123.285857802601</v>
      </c>
      <c r="F8" s="244">
        <v>0.166797282749594</v>
      </c>
      <c r="G8" s="243">
        <v>0.06983356005717739</v>
      </c>
      <c r="H8" s="244">
        <v>14.764269906713</v>
      </c>
    </row>
    <row r="9" spans="2:8" ht="15.75">
      <c r="B9" s="27">
        <v>48453001706</v>
      </c>
      <c r="C9" s="243">
        <v>0.026164594904035998</v>
      </c>
      <c r="D9" s="244">
        <v>0.926267674553459</v>
      </c>
      <c r="E9" s="244">
        <v>119.008857544812</v>
      </c>
      <c r="F9" s="244">
        <v>0.201045270169805</v>
      </c>
      <c r="G9" s="243">
        <v>0.0766441449586749</v>
      </c>
      <c r="H9" s="244">
        <v>16.08138775238</v>
      </c>
    </row>
    <row r="10" spans="2:8" ht="15.75">
      <c r="B10" s="27">
        <v>48453001707</v>
      </c>
      <c r="C10" s="243">
        <v>0.029608379086561398</v>
      </c>
      <c r="D10" s="244">
        <v>1.01832248280834</v>
      </c>
      <c r="E10" s="244">
        <v>128.365194507312</v>
      </c>
      <c r="F10" s="244">
        <v>0.14681402349232</v>
      </c>
      <c r="G10" s="243">
        <v>0.0773427868247452</v>
      </c>
      <c r="H10" s="244">
        <v>16.1498657613431</v>
      </c>
    </row>
    <row r="11" spans="2:8" ht="15.75">
      <c r="B11" s="28">
        <v>48453001712</v>
      </c>
      <c r="C11" s="243">
        <v>0.034363330283554296</v>
      </c>
      <c r="D11" s="244">
        <v>1.08991368851699</v>
      </c>
      <c r="E11" s="244">
        <v>179.460786979719</v>
      </c>
      <c r="F11" s="244">
        <v>0.141824452211389</v>
      </c>
      <c r="G11" s="243">
        <v>0.10661669102371</v>
      </c>
      <c r="H11" s="244">
        <v>18.7744464929379</v>
      </c>
    </row>
    <row r="12" spans="2:8" ht="15.75">
      <c r="B12" s="28">
        <v>48453001713</v>
      </c>
      <c r="C12" s="243">
        <v>0.030425893262043</v>
      </c>
      <c r="D12" s="244">
        <v>0.996968074586613</v>
      </c>
      <c r="E12" s="244">
        <v>159.415362826379</v>
      </c>
      <c r="F12" s="244">
        <v>0.0961396196646871</v>
      </c>
      <c r="G12" s="243">
        <v>0.0900004100613158</v>
      </c>
      <c r="H12" s="244">
        <v>16.542782006589</v>
      </c>
    </row>
    <row r="13" spans="2:8" ht="15.75">
      <c r="B13" s="28">
        <v>48453000801</v>
      </c>
      <c r="C13" s="243">
        <v>0.0392338562460462</v>
      </c>
      <c r="D13" s="244">
        <v>1.20515277921363</v>
      </c>
      <c r="E13" s="244">
        <v>194.077556983043</v>
      </c>
      <c r="F13" s="244">
        <v>0.153355978853062</v>
      </c>
      <c r="G13" s="243">
        <v>0.10284685842046701</v>
      </c>
      <c r="H13" s="244">
        <v>17.5397701202463</v>
      </c>
    </row>
    <row r="14" spans="2:8" ht="15.75">
      <c r="B14" s="28">
        <v>48453001718</v>
      </c>
      <c r="C14" s="243">
        <v>0.0321816029736294</v>
      </c>
      <c r="D14" s="244">
        <v>1.08304099188992</v>
      </c>
      <c r="E14" s="244">
        <v>146.097985341955</v>
      </c>
      <c r="F14" s="244">
        <v>0.258821684760444</v>
      </c>
      <c r="G14" s="243">
        <v>0.0792779648717804</v>
      </c>
      <c r="H14" s="244">
        <v>16.0965220438548</v>
      </c>
    </row>
    <row r="15" spans="2:8" ht="15.75">
      <c r="B15" s="28">
        <v>48453001716</v>
      </c>
      <c r="C15" s="243">
        <v>0.0163364767561292</v>
      </c>
      <c r="D15" s="244">
        <v>0.677635855239204</v>
      </c>
      <c r="E15" s="244">
        <v>105.426290089091</v>
      </c>
      <c r="F15" s="244">
        <v>0.11987454198334</v>
      </c>
      <c r="G15" s="243">
        <v>0.0618650095124719</v>
      </c>
      <c r="H15" s="244">
        <v>13.2076008476559</v>
      </c>
    </row>
    <row r="16" spans="2:8" ht="15.75">
      <c r="B16" s="28">
        <v>48453001747</v>
      </c>
      <c r="C16" s="243">
        <v>0.0252207681583801</v>
      </c>
      <c r="D16" s="244">
        <v>0.874087667046774</v>
      </c>
      <c r="E16" s="244">
        <v>113.19516411235</v>
      </c>
      <c r="F16" s="244">
        <v>0.0575315790167652</v>
      </c>
      <c r="G16" s="243">
        <v>0.054804004508856294</v>
      </c>
      <c r="H16" s="244">
        <v>11.2916194747947</v>
      </c>
    </row>
    <row r="17" spans="2:8" ht="15.75">
      <c r="B17" s="28">
        <v>48453001823</v>
      </c>
      <c r="C17" s="243">
        <v>0.029406474044015897</v>
      </c>
      <c r="D17" s="244">
        <v>1.02235203173538</v>
      </c>
      <c r="E17" s="244">
        <v>113.195201579546</v>
      </c>
      <c r="F17" s="244">
        <v>0.222019</v>
      </c>
      <c r="G17" s="243">
        <v>0.0693853541724535</v>
      </c>
      <c r="H17" s="244">
        <v>14.1771939035566</v>
      </c>
    </row>
    <row r="18" spans="2:8" ht="15.75">
      <c r="B18" s="28">
        <v>48453002307</v>
      </c>
      <c r="C18" s="243">
        <v>0.0386452046519419</v>
      </c>
      <c r="D18" s="244">
        <v>1.17104590834865</v>
      </c>
      <c r="E18" s="244">
        <v>200.620072854559</v>
      </c>
      <c r="F18" s="244">
        <v>0.19701805380537</v>
      </c>
      <c r="G18" s="243">
        <v>0.09843013104099389</v>
      </c>
      <c r="H18" s="244">
        <v>17.2295657756403</v>
      </c>
    </row>
    <row r="19" spans="2:8" ht="15.75">
      <c r="B19" s="28">
        <v>48453001908</v>
      </c>
      <c r="C19" s="243">
        <v>0.0140722113486789</v>
      </c>
      <c r="D19" s="244">
        <v>0.652652324448957</v>
      </c>
      <c r="E19" s="244">
        <v>91.1293484243505</v>
      </c>
      <c r="F19" s="244">
        <v>0.169240045995584</v>
      </c>
      <c r="G19" s="243">
        <v>0.0732657333699911</v>
      </c>
      <c r="H19" s="244">
        <v>14.1425085194448</v>
      </c>
    </row>
    <row r="20" spans="2:8" ht="15.75">
      <c r="B20" s="28">
        <v>48453001719</v>
      </c>
      <c r="C20" s="243">
        <v>0.0266926730299074</v>
      </c>
      <c r="D20" s="244">
        <v>0.945090566876956</v>
      </c>
      <c r="E20" s="244">
        <v>131.237259035319</v>
      </c>
      <c r="F20" s="244">
        <v>0.192344916734499</v>
      </c>
      <c r="G20" s="243">
        <v>0.071466777495304</v>
      </c>
      <c r="H20" s="244">
        <v>14.7587323063751</v>
      </c>
    </row>
    <row r="21" spans="2:8" ht="15.75">
      <c r="B21" s="28">
        <v>48453002109</v>
      </c>
      <c r="C21" s="243">
        <v>0.038605153772403</v>
      </c>
      <c r="D21" s="244">
        <v>1.19623143358444</v>
      </c>
      <c r="E21" s="244">
        <v>178.273170294271</v>
      </c>
      <c r="F21" s="244">
        <v>0.0537175851723206</v>
      </c>
      <c r="G21" s="243">
        <v>0.0964759295108677</v>
      </c>
      <c r="H21" s="244">
        <v>16.5737854989947</v>
      </c>
    </row>
    <row r="22" spans="2:8" ht="15.75">
      <c r="B22" s="28">
        <v>48453001840</v>
      </c>
      <c r="C22" s="243">
        <v>0.0173218164802954</v>
      </c>
      <c r="D22" s="244">
        <v>0.728892910218073</v>
      </c>
      <c r="E22" s="244">
        <v>83.8569652053302</v>
      </c>
      <c r="F22" s="244">
        <v>0.134520666009209</v>
      </c>
      <c r="G22" s="243">
        <v>0.0357788512489718</v>
      </c>
      <c r="H22" s="244">
        <v>9.51084870991157</v>
      </c>
    </row>
    <row r="23" spans="2:8" ht="15.75">
      <c r="B23" s="28">
        <v>48453001722</v>
      </c>
      <c r="C23" s="243">
        <v>0.023586505646750102</v>
      </c>
      <c r="D23" s="244">
        <v>0.854909874258368</v>
      </c>
      <c r="E23" s="244">
        <v>110.585037044531</v>
      </c>
      <c r="F23" s="244">
        <v>0.175483317498935</v>
      </c>
      <c r="G23" s="243">
        <v>0.0865769795059369</v>
      </c>
      <c r="H23" s="244">
        <v>17.7396065286416</v>
      </c>
    </row>
    <row r="24" spans="2:8" ht="15.75">
      <c r="B24" s="28">
        <v>48453001728</v>
      </c>
      <c r="C24" s="243">
        <v>0.0258624191598541</v>
      </c>
      <c r="D24" s="244">
        <v>0.894103715868713</v>
      </c>
      <c r="E24" s="244">
        <v>131.523285409818</v>
      </c>
      <c r="F24" s="244">
        <v>0.0440917107583774</v>
      </c>
      <c r="G24" s="243">
        <v>0.0700276491815471</v>
      </c>
      <c r="H24" s="244">
        <v>13.647925945389</v>
      </c>
    </row>
    <row r="25" spans="2:8" ht="15.75">
      <c r="B25" s="28">
        <v>48453002108</v>
      </c>
      <c r="C25" s="243">
        <v>0.03151160594096</v>
      </c>
      <c r="D25" s="244">
        <v>1.03103653751197</v>
      </c>
      <c r="E25" s="244">
        <v>141.723518972679</v>
      </c>
      <c r="F25" s="244">
        <v>0.222019</v>
      </c>
      <c r="G25" s="243">
        <v>0.084169437745017</v>
      </c>
      <c r="H25" s="244">
        <v>14.7324376213617</v>
      </c>
    </row>
    <row r="26" spans="2:8" ht="15.75">
      <c r="B26" s="28">
        <v>48453001768</v>
      </c>
      <c r="C26" s="243">
        <v>0.0184005262559018</v>
      </c>
      <c r="D26" s="244">
        <v>0.696564215378214</v>
      </c>
      <c r="E26" s="244">
        <v>81.427612584053</v>
      </c>
      <c r="F26" s="244">
        <v>0.222019</v>
      </c>
      <c r="G26" s="243">
        <v>0.030336382327393698</v>
      </c>
      <c r="H26" s="244">
        <v>9.12460812105686</v>
      </c>
    </row>
    <row r="27" spans="2:8" ht="15.75">
      <c r="B27" s="28">
        <v>48453001729</v>
      </c>
      <c r="C27" s="243">
        <v>0.0238773452899465</v>
      </c>
      <c r="D27" s="244">
        <v>0.862186619601479</v>
      </c>
      <c r="E27" s="244">
        <v>124.76574776409</v>
      </c>
      <c r="F27" s="244">
        <v>0.0795606626329877</v>
      </c>
      <c r="G27" s="243">
        <v>0.0695478348223927</v>
      </c>
      <c r="H27" s="244">
        <v>13.5812950062327</v>
      </c>
    </row>
    <row r="28" spans="2:8" ht="15.75">
      <c r="B28" s="28">
        <v>48453002105</v>
      </c>
      <c r="C28" s="243">
        <v>0.0404788431939257</v>
      </c>
      <c r="D28" s="244">
        <v>1.27222432855894</v>
      </c>
      <c r="E28" s="244">
        <v>166.041631761129</v>
      </c>
      <c r="F28" s="244">
        <v>0.208905253771245</v>
      </c>
      <c r="G28" s="243">
        <v>0.0915475344559991</v>
      </c>
      <c r="H28" s="244">
        <v>16.6058559048358</v>
      </c>
    </row>
    <row r="29" spans="2:8" ht="15.75">
      <c r="B29" s="28">
        <v>48453002106</v>
      </c>
      <c r="C29" s="243">
        <v>0.0361451589503795</v>
      </c>
      <c r="D29" s="244">
        <v>1.15545243678134</v>
      </c>
      <c r="E29" s="244">
        <v>151.819664120489</v>
      </c>
      <c r="F29" s="244">
        <v>0.222019</v>
      </c>
      <c r="G29" s="243">
        <v>0.0873196408919253</v>
      </c>
      <c r="H29" s="244">
        <v>15.6416152101218</v>
      </c>
    </row>
    <row r="30" spans="2:8" ht="15.75">
      <c r="B30" s="28">
        <v>48453002107</v>
      </c>
      <c r="C30" s="243">
        <v>0.0350918420733211</v>
      </c>
      <c r="D30" s="244">
        <v>1.12004442890337</v>
      </c>
      <c r="E30" s="244">
        <v>152.813445051009</v>
      </c>
      <c r="F30" s="244">
        <v>0.0914749768779974</v>
      </c>
      <c r="G30" s="243">
        <v>0.0879929606366321</v>
      </c>
      <c r="H30" s="244">
        <v>15.4519037414355</v>
      </c>
    </row>
    <row r="31" spans="2:8" ht="15.75">
      <c r="B31" s="28">
        <v>48453000204</v>
      </c>
      <c r="C31" s="243">
        <v>0.0453948353702587</v>
      </c>
      <c r="D31" s="244">
        <v>1.38505540326613</v>
      </c>
      <c r="E31" s="244">
        <v>196.690411408982</v>
      </c>
      <c r="F31" s="244">
        <v>0.284099662388851</v>
      </c>
      <c r="G31" s="243">
        <v>0.0996041518677423</v>
      </c>
      <c r="H31" s="244">
        <v>18.194652051867</v>
      </c>
    </row>
    <row r="32" spans="2:8" ht="15.75">
      <c r="B32" s="28">
        <v>48453001822</v>
      </c>
      <c r="C32" s="243">
        <v>0.030002343492619602</v>
      </c>
      <c r="D32" s="244">
        <v>1.03443521809207</v>
      </c>
      <c r="E32" s="244">
        <v>114.43718143079</v>
      </c>
      <c r="F32" s="244">
        <v>0.183520779455307</v>
      </c>
      <c r="G32" s="243">
        <v>0.0702948281296424</v>
      </c>
      <c r="H32" s="244">
        <v>14.6109189544106</v>
      </c>
    </row>
    <row r="33" spans="2:8" ht="15.75">
      <c r="B33" s="28">
        <v>48453001841</v>
      </c>
      <c r="C33" s="243">
        <v>0.0138960608887987</v>
      </c>
      <c r="D33" s="244">
        <v>0.650404599459622</v>
      </c>
      <c r="E33" s="244">
        <v>82.7792799618179</v>
      </c>
      <c r="F33" s="244">
        <v>0.0874407875702659</v>
      </c>
      <c r="G33" s="243">
        <v>0.0310387758349383</v>
      </c>
      <c r="H33" s="244">
        <v>8.10557126708518</v>
      </c>
    </row>
    <row r="34" spans="2:8" ht="15.75">
      <c r="B34" s="28">
        <v>48453001000</v>
      </c>
      <c r="C34" s="243">
        <v>0.042442535343229004</v>
      </c>
      <c r="D34" s="244">
        <v>1.27958992206115</v>
      </c>
      <c r="E34" s="244">
        <v>221.510539904256</v>
      </c>
      <c r="F34" s="244">
        <v>0.238120148956206</v>
      </c>
      <c r="G34" s="243">
        <v>0.111804080503896</v>
      </c>
      <c r="H34" s="244">
        <v>19.1891943433204</v>
      </c>
    </row>
    <row r="35" spans="2:8" ht="15.75">
      <c r="B35" s="28">
        <v>48453001752</v>
      </c>
      <c r="C35" s="243">
        <v>0.0326361502125415</v>
      </c>
      <c r="D35" s="244">
        <v>1.09680392111246</v>
      </c>
      <c r="E35" s="244">
        <v>138.92195466376</v>
      </c>
      <c r="F35" s="244">
        <v>0.278002325792659</v>
      </c>
      <c r="G35" s="243">
        <v>0.0804429322482042</v>
      </c>
      <c r="H35" s="244">
        <v>16.4646955523386</v>
      </c>
    </row>
    <row r="36" spans="2:8" ht="15.75">
      <c r="B36" s="28">
        <v>48453001740</v>
      </c>
      <c r="C36" s="243">
        <v>0.0226835427585465</v>
      </c>
      <c r="D36" s="244">
        <v>0.815288883127031</v>
      </c>
      <c r="E36" s="244">
        <v>104.282515937699</v>
      </c>
      <c r="F36" s="244">
        <v>0.222019</v>
      </c>
      <c r="G36" s="243">
        <v>0.0665904670917388</v>
      </c>
      <c r="H36" s="244">
        <v>12.6810214191751</v>
      </c>
    </row>
    <row r="37" spans="2:8" ht="15.75">
      <c r="B37" s="28">
        <v>48453001403</v>
      </c>
      <c r="C37" s="243">
        <v>0.0423905294867716</v>
      </c>
      <c r="D37" s="244">
        <v>1.26861933485715</v>
      </c>
      <c r="E37" s="244">
        <v>218.558549041042</v>
      </c>
      <c r="F37" s="244">
        <v>0.257276029024461</v>
      </c>
      <c r="G37" s="243">
        <v>0.10871691109978901</v>
      </c>
      <c r="H37" s="244">
        <v>18.7724285234019</v>
      </c>
    </row>
    <row r="38" spans="2:8" ht="15.75">
      <c r="B38" s="28">
        <v>48453001845</v>
      </c>
      <c r="C38" s="243">
        <v>0.0249051016243424</v>
      </c>
      <c r="D38" s="244">
        <v>0.909055373499574</v>
      </c>
      <c r="E38" s="244">
        <v>103.305587834338</v>
      </c>
      <c r="F38" s="244">
        <v>0.182611454201138</v>
      </c>
      <c r="G38" s="243">
        <v>0.0679787838886432</v>
      </c>
      <c r="H38" s="244">
        <v>14.594628746583</v>
      </c>
    </row>
    <row r="39" spans="2:8" ht="15.75">
      <c r="B39" s="28">
        <v>48453001913</v>
      </c>
      <c r="C39" s="243">
        <v>0.014994328862897801</v>
      </c>
      <c r="D39" s="244">
        <v>0.658726990757921</v>
      </c>
      <c r="E39" s="244">
        <v>111.89136745186</v>
      </c>
      <c r="F39" s="244">
        <v>0.150493289264678</v>
      </c>
      <c r="G39" s="243">
        <v>0.0596518746628351</v>
      </c>
      <c r="H39" s="244">
        <v>12.9058375575865</v>
      </c>
    </row>
    <row r="40" spans="2:8" ht="15.75">
      <c r="B40" s="28">
        <v>48453000902</v>
      </c>
      <c r="C40" s="243">
        <v>0.0422354832209931</v>
      </c>
      <c r="D40" s="244">
        <v>1.27628749188185</v>
      </c>
      <c r="E40" s="244">
        <v>216.300347643881</v>
      </c>
      <c r="F40" s="244">
        <v>0.177623310504914</v>
      </c>
      <c r="G40" s="243">
        <v>0.11051580026055</v>
      </c>
      <c r="H40" s="244">
        <v>18.9234332440957</v>
      </c>
    </row>
    <row r="41" spans="2:8" ht="15.75">
      <c r="B41" s="28">
        <v>48453001100</v>
      </c>
      <c r="C41" s="243">
        <v>0.047210984105313596</v>
      </c>
      <c r="D41" s="244">
        <v>1.40413053419346</v>
      </c>
      <c r="E41" s="244">
        <v>229.292318237959</v>
      </c>
      <c r="F41" s="244">
        <v>0.467358317328257</v>
      </c>
      <c r="G41" s="243">
        <v>0.11217301627575</v>
      </c>
      <c r="H41" s="244">
        <v>19.6314188263034</v>
      </c>
    </row>
    <row r="42" spans="2:8" ht="15.75">
      <c r="B42" s="28">
        <v>48453001745</v>
      </c>
      <c r="C42" s="243">
        <v>0.0261537728125195</v>
      </c>
      <c r="D42" s="244">
        <v>0.887922647252712</v>
      </c>
      <c r="E42" s="244">
        <v>104.385299383937</v>
      </c>
      <c r="F42" s="244">
        <v>0.183725819029472</v>
      </c>
      <c r="G42" s="243">
        <v>0.0780994726790507</v>
      </c>
      <c r="H42" s="244">
        <v>16.5020546753938</v>
      </c>
    </row>
    <row r="43" spans="2:8" ht="15.75">
      <c r="B43" s="28">
        <v>48453001749</v>
      </c>
      <c r="C43" s="243">
        <v>0.0221291094765634</v>
      </c>
      <c r="D43" s="244">
        <v>0.82740736226891</v>
      </c>
      <c r="E43" s="244">
        <v>129.6047132083</v>
      </c>
      <c r="F43" s="244">
        <v>0.194389221686918</v>
      </c>
      <c r="G43" s="243">
        <v>0.0812561954246518</v>
      </c>
      <c r="H43" s="244">
        <v>15.3368717048631</v>
      </c>
    </row>
    <row r="44" spans="2:8" ht="15.75">
      <c r="B44" s="28">
        <v>48453001750</v>
      </c>
      <c r="C44" s="243">
        <v>0.028497705506813</v>
      </c>
      <c r="D44" s="244">
        <v>0.963036613459175</v>
      </c>
      <c r="E44" s="244">
        <v>156.273994389178</v>
      </c>
      <c r="F44" s="244">
        <v>0.230000869375324</v>
      </c>
      <c r="G44" s="243">
        <v>0.09444944096569839</v>
      </c>
      <c r="H44" s="244">
        <v>17.2259918517544</v>
      </c>
    </row>
    <row r="45" spans="2:8" ht="15.75">
      <c r="B45" s="28">
        <v>48453001751</v>
      </c>
      <c r="C45" s="243">
        <v>0.0289565754737369</v>
      </c>
      <c r="D45" s="244">
        <v>1.00344873614428</v>
      </c>
      <c r="E45" s="244">
        <v>130.511706712464</v>
      </c>
      <c r="F45" s="244">
        <v>0.208269062750284</v>
      </c>
      <c r="G45" s="243">
        <v>0.0754452292253373</v>
      </c>
      <c r="H45" s="244">
        <v>15.7459112816469</v>
      </c>
    </row>
    <row r="46" spans="2:8" ht="15.75">
      <c r="B46" s="28">
        <v>48453001753</v>
      </c>
      <c r="C46" s="243">
        <v>0.026751349350266497</v>
      </c>
      <c r="D46" s="244">
        <v>0.940176998605822</v>
      </c>
      <c r="E46" s="244">
        <v>116.173798803388</v>
      </c>
      <c r="F46" s="244">
        <v>0.222019</v>
      </c>
      <c r="G46" s="243">
        <v>0.08269063040051851</v>
      </c>
      <c r="H46" s="244">
        <v>17.0695032978579</v>
      </c>
    </row>
    <row r="47" spans="2:8" ht="15.75">
      <c r="B47" s="28">
        <v>48453001754</v>
      </c>
      <c r="C47" s="243">
        <v>0.024066088566769103</v>
      </c>
      <c r="D47" s="244">
        <v>0.863223548837118</v>
      </c>
      <c r="E47" s="244">
        <v>108.293617173276</v>
      </c>
      <c r="F47" s="244">
        <v>0.222019</v>
      </c>
      <c r="G47" s="243">
        <v>0.0857143860715322</v>
      </c>
      <c r="H47" s="244">
        <v>17.7419848557021</v>
      </c>
    </row>
    <row r="48" spans="2:8" ht="15.75">
      <c r="B48" s="28">
        <v>48453001769</v>
      </c>
      <c r="C48" s="243">
        <v>0.0168035964854927</v>
      </c>
      <c r="D48" s="244">
        <v>0.705506502321827</v>
      </c>
      <c r="E48" s="244">
        <v>95.2329494123324</v>
      </c>
      <c r="F48" s="244">
        <v>0.1646543692519</v>
      </c>
      <c r="G48" s="243">
        <v>0.0676213515500868</v>
      </c>
      <c r="H48" s="244">
        <v>13.0552800677192</v>
      </c>
    </row>
    <row r="49" spans="2:8" ht="15.75">
      <c r="B49" s="28">
        <v>48453001804</v>
      </c>
      <c r="C49" s="243">
        <v>0.036229516249778</v>
      </c>
      <c r="D49" s="244">
        <v>1.18530863496102</v>
      </c>
      <c r="E49" s="244">
        <v>145.415742240295</v>
      </c>
      <c r="F49" s="244">
        <v>0.17714685706146</v>
      </c>
      <c r="G49" s="243">
        <v>0.0896703154813815</v>
      </c>
      <c r="H49" s="244">
        <v>17.073217219399</v>
      </c>
    </row>
    <row r="50" spans="2:8" ht="15.75">
      <c r="B50" s="28">
        <v>48453001805</v>
      </c>
      <c r="C50" s="243">
        <v>0.035165799716775</v>
      </c>
      <c r="D50" s="244">
        <v>1.16289021936423</v>
      </c>
      <c r="E50" s="244">
        <v>137.816386559548</v>
      </c>
      <c r="F50" s="244">
        <v>0.180550866900184</v>
      </c>
      <c r="G50" s="243">
        <v>0.08590538011016699</v>
      </c>
      <c r="H50" s="244">
        <v>16.8901189681977</v>
      </c>
    </row>
    <row r="51" spans="2:8" ht="15.75">
      <c r="B51" s="28">
        <v>48453001806</v>
      </c>
      <c r="C51" s="243">
        <v>0.0339837852556188</v>
      </c>
      <c r="D51" s="244">
        <v>1.13479593932047</v>
      </c>
      <c r="E51" s="244">
        <v>133.246563858232</v>
      </c>
      <c r="F51" s="244">
        <v>0.222019</v>
      </c>
      <c r="G51" s="243">
        <v>0.08220281553268631</v>
      </c>
      <c r="H51" s="244">
        <v>16.0392766578535</v>
      </c>
    </row>
    <row r="52" spans="2:8" ht="15.75">
      <c r="B52" s="28">
        <v>48453001811</v>
      </c>
      <c r="C52" s="243">
        <v>0.033884665649050995</v>
      </c>
      <c r="D52" s="244">
        <v>1.11512884547361</v>
      </c>
      <c r="E52" s="244">
        <v>137.973661378122</v>
      </c>
      <c r="F52" s="244">
        <v>0.167191938698331</v>
      </c>
      <c r="G52" s="243">
        <v>0.08404744865226829</v>
      </c>
      <c r="H52" s="244">
        <v>15.4918265250321</v>
      </c>
    </row>
    <row r="53" spans="2:8" ht="15.75">
      <c r="B53" s="28">
        <v>48453001812</v>
      </c>
      <c r="C53" s="243">
        <v>0.0366428208144952</v>
      </c>
      <c r="D53" s="244">
        <v>1.18848786236731</v>
      </c>
      <c r="E53" s="244">
        <v>147.820212599624</v>
      </c>
      <c r="F53" s="244">
        <v>0.0492896384692536</v>
      </c>
      <c r="G53" s="243">
        <v>0.08778112005905779</v>
      </c>
      <c r="H53" s="244">
        <v>16.3362010673079</v>
      </c>
    </row>
    <row r="54" spans="2:8" ht="15.75">
      <c r="B54" s="28">
        <v>48453001821</v>
      </c>
      <c r="C54" s="243">
        <v>0.029349283454451598</v>
      </c>
      <c r="D54" s="244">
        <v>1.01591898181903</v>
      </c>
      <c r="E54" s="244">
        <v>113.545439819261</v>
      </c>
      <c r="F54" s="244">
        <v>0.120426261469071</v>
      </c>
      <c r="G54" s="243">
        <v>0.0722633133135097</v>
      </c>
      <c r="H54" s="244">
        <v>15.0893983942381</v>
      </c>
    </row>
    <row r="55" spans="2:8" ht="15.75">
      <c r="B55" s="28">
        <v>48453001813</v>
      </c>
      <c r="C55" s="243">
        <v>0.0323486546614219</v>
      </c>
      <c r="D55" s="244">
        <v>1.09262961275959</v>
      </c>
      <c r="E55" s="244">
        <v>129.126283638346</v>
      </c>
      <c r="F55" s="244">
        <v>0.161203802904207</v>
      </c>
      <c r="G55" s="243">
        <v>0.0797400836984317</v>
      </c>
      <c r="H55" s="244">
        <v>15.267573255229</v>
      </c>
    </row>
    <row r="56" spans="2:8" ht="15.75">
      <c r="B56" s="28">
        <v>48453001817</v>
      </c>
      <c r="C56" s="243">
        <v>0.0330534394234929</v>
      </c>
      <c r="D56" s="244">
        <v>1.10598916809342</v>
      </c>
      <c r="E56" s="244">
        <v>133.993757709928</v>
      </c>
      <c r="F56" s="244">
        <v>0.338516494406304</v>
      </c>
      <c r="G56" s="243">
        <v>0.08260369148777941</v>
      </c>
      <c r="H56" s="244">
        <v>16.7603589806646</v>
      </c>
    </row>
    <row r="57" spans="2:8" ht="15.75">
      <c r="B57" s="28">
        <v>48453001818</v>
      </c>
      <c r="C57" s="243">
        <v>0.034968032882066</v>
      </c>
      <c r="D57" s="244">
        <v>1.15663576819231</v>
      </c>
      <c r="E57" s="244">
        <v>139.121486470644</v>
      </c>
      <c r="F57" s="244">
        <v>0.197730843670388</v>
      </c>
      <c r="G57" s="243">
        <v>0.0869363262250301</v>
      </c>
      <c r="H57" s="244">
        <v>17.1650492105587</v>
      </c>
    </row>
    <row r="58" spans="2:8" ht="15.75">
      <c r="B58" s="28">
        <v>48453001820</v>
      </c>
      <c r="C58" s="243">
        <v>0.0327980895094449</v>
      </c>
      <c r="D58" s="244">
        <v>1.10353430462622</v>
      </c>
      <c r="E58" s="244">
        <v>127.150846147963</v>
      </c>
      <c r="F58" s="244">
        <v>0.231764241938811</v>
      </c>
      <c r="G58" s="243">
        <v>0.0797504498896302</v>
      </c>
      <c r="H58" s="244">
        <v>16.1379521973277</v>
      </c>
    </row>
    <row r="59" spans="2:8" ht="15.75">
      <c r="B59" s="28">
        <v>48453001824</v>
      </c>
      <c r="C59" s="243">
        <v>0.024993115290169402</v>
      </c>
      <c r="D59" s="244">
        <v>0.915978896017091</v>
      </c>
      <c r="E59" s="244">
        <v>101.675251905988</v>
      </c>
      <c r="F59" s="244">
        <v>0.222019</v>
      </c>
      <c r="G59" s="243">
        <v>0.0646108854365294</v>
      </c>
      <c r="H59" s="244">
        <v>13.6077762481212</v>
      </c>
    </row>
    <row r="60" spans="2:8" ht="15.75">
      <c r="B60" s="28">
        <v>48453001828</v>
      </c>
      <c r="C60" s="243">
        <v>0.0257025919909678</v>
      </c>
      <c r="D60" s="244">
        <v>0.888563775804098</v>
      </c>
      <c r="E60" s="244">
        <v>101.516033713219</v>
      </c>
      <c r="F60" s="244">
        <v>0.203674522564279</v>
      </c>
      <c r="G60" s="243">
        <v>0.0714969432394808</v>
      </c>
      <c r="H60" s="244">
        <v>15.4808127843394</v>
      </c>
    </row>
    <row r="61" spans="2:8" ht="15.75">
      <c r="B61" s="28">
        <v>48453001200</v>
      </c>
      <c r="C61" s="243">
        <v>0.044522164420758396</v>
      </c>
      <c r="D61" s="244">
        <v>1.34988824625039</v>
      </c>
      <c r="E61" s="244">
        <v>218.000284471885</v>
      </c>
      <c r="F61" s="244">
        <v>0.420558336080566</v>
      </c>
      <c r="G61" s="243">
        <v>0.10618783885796701</v>
      </c>
      <c r="H61" s="244">
        <v>19.1617283128292</v>
      </c>
    </row>
    <row r="62" spans="2:8" ht="15.75">
      <c r="B62" s="28">
        <v>48453001842</v>
      </c>
      <c r="C62" s="243">
        <v>0.0135715284774406</v>
      </c>
      <c r="D62" s="244">
        <v>0.642278562212949</v>
      </c>
      <c r="E62" s="244">
        <v>76.6585595263402</v>
      </c>
      <c r="F62" s="244">
        <v>0.222019</v>
      </c>
      <c r="G62" s="243">
        <v>0.0381672391689131</v>
      </c>
      <c r="H62" s="244">
        <v>8.8041049746256</v>
      </c>
    </row>
    <row r="63" spans="2:8" ht="15.75">
      <c r="B63" s="28">
        <v>48453001843</v>
      </c>
      <c r="C63" s="243">
        <v>0.026209926787256997</v>
      </c>
      <c r="D63" s="244">
        <v>0.939600997974027</v>
      </c>
      <c r="E63" s="244">
        <v>107.334422126848</v>
      </c>
      <c r="F63" s="244">
        <v>0.160356297611099</v>
      </c>
      <c r="G63" s="243">
        <v>0.0713557197188346</v>
      </c>
      <c r="H63" s="244">
        <v>15.0783400880976</v>
      </c>
    </row>
    <row r="64" spans="2:8" ht="15.75">
      <c r="B64" s="28">
        <v>48453002005</v>
      </c>
      <c r="C64" s="243">
        <v>0.039043611346193996</v>
      </c>
      <c r="D64" s="244">
        <v>1.19938478562599</v>
      </c>
      <c r="E64" s="244">
        <v>198.250726057431</v>
      </c>
      <c r="F64" s="244">
        <v>0.20169175016801</v>
      </c>
      <c r="G64" s="243">
        <v>0.110677436071969</v>
      </c>
      <c r="H64" s="244">
        <v>19.1845050958221</v>
      </c>
    </row>
    <row r="65" spans="2:8" ht="15.75">
      <c r="B65" s="28">
        <v>48453001303</v>
      </c>
      <c r="C65" s="243">
        <v>0.0429136732393872</v>
      </c>
      <c r="D65" s="244">
        <v>1.30481537235144</v>
      </c>
      <c r="E65" s="244">
        <v>216.342494899773</v>
      </c>
      <c r="F65" s="244">
        <v>0.319300884219091</v>
      </c>
      <c r="G65" s="243">
        <v>0.108103230553985</v>
      </c>
      <c r="H65" s="244">
        <v>19.2496145101603</v>
      </c>
    </row>
    <row r="66" spans="2:8" ht="15.75">
      <c r="B66" s="28">
        <v>48453001304</v>
      </c>
      <c r="C66" s="243">
        <v>0.0411584131774025</v>
      </c>
      <c r="D66" s="244">
        <v>1.25549395228388</v>
      </c>
      <c r="E66" s="244">
        <v>209.146713729843</v>
      </c>
      <c r="F66" s="244">
        <v>0.133409695132762</v>
      </c>
      <c r="G66" s="243">
        <v>0.108365906223705</v>
      </c>
      <c r="H66" s="244">
        <v>19.0581796750963</v>
      </c>
    </row>
    <row r="67" spans="2:8" ht="15.75">
      <c r="B67" s="28">
        <v>48453001305</v>
      </c>
      <c r="C67" s="243">
        <v>0.043881719975935596</v>
      </c>
      <c r="D67" s="244">
        <v>1.3189239095221</v>
      </c>
      <c r="E67" s="244">
        <v>221.041029423765</v>
      </c>
      <c r="F67" s="244">
        <v>0.226021624571027</v>
      </c>
      <c r="G67" s="243">
        <v>0.11091790792230499</v>
      </c>
      <c r="H67" s="244">
        <v>19.4698507403516</v>
      </c>
    </row>
    <row r="68" spans="2:8" ht="15.75">
      <c r="B68" s="28">
        <v>48453001307</v>
      </c>
      <c r="C68" s="243">
        <v>0.041270589924972</v>
      </c>
      <c r="D68" s="244">
        <v>1.25091799274355</v>
      </c>
      <c r="E68" s="244">
        <v>206.874556487482</v>
      </c>
      <c r="F68" s="244">
        <v>0.21308366528192</v>
      </c>
      <c r="G68" s="243">
        <v>0.107354762408628</v>
      </c>
      <c r="H68" s="244">
        <v>18.8025558083757</v>
      </c>
    </row>
    <row r="69" spans="2:8" ht="15.75">
      <c r="B69" s="28">
        <v>48453002104</v>
      </c>
      <c r="C69" s="243">
        <v>0.037840645970845396</v>
      </c>
      <c r="D69" s="244">
        <v>1.20390142226288</v>
      </c>
      <c r="E69" s="244">
        <v>155.595092129743</v>
      </c>
      <c r="F69" s="244">
        <v>0.283595188840709</v>
      </c>
      <c r="G69" s="243">
        <v>0.0891667676565836</v>
      </c>
      <c r="H69" s="244">
        <v>16.1077727844841</v>
      </c>
    </row>
    <row r="70" spans="2:8" ht="15.75">
      <c r="B70" s="28">
        <v>48453001401</v>
      </c>
      <c r="C70" s="243">
        <v>0.04376652631086379</v>
      </c>
      <c r="D70" s="244">
        <v>1.31094076942353</v>
      </c>
      <c r="E70" s="244">
        <v>222.768144953384</v>
      </c>
      <c r="F70" s="244">
        <v>0.254327684008346</v>
      </c>
      <c r="G70" s="243">
        <v>0.111077529756429</v>
      </c>
      <c r="H70" s="244">
        <v>19.4111502729386</v>
      </c>
    </row>
    <row r="71" spans="2:8" ht="15.75">
      <c r="B71" s="28">
        <v>48453001829</v>
      </c>
      <c r="C71" s="243">
        <v>0.0250146958685534</v>
      </c>
      <c r="D71" s="244">
        <v>0.887137649011509</v>
      </c>
      <c r="E71" s="244">
        <v>103.387689509514</v>
      </c>
      <c r="F71" s="244">
        <v>0.222019</v>
      </c>
      <c r="G71" s="243">
        <v>0.0736434537447338</v>
      </c>
      <c r="H71" s="244">
        <v>15.8469401117901</v>
      </c>
    </row>
    <row r="72" spans="2:8" ht="15.75">
      <c r="B72" s="28">
        <v>48453001832</v>
      </c>
      <c r="C72" s="243">
        <v>0.022783309153640602</v>
      </c>
      <c r="D72" s="244">
        <v>0.866872220009518</v>
      </c>
      <c r="E72" s="244">
        <v>96.4818214858634</v>
      </c>
      <c r="F72" s="244">
        <v>0.249759846301633</v>
      </c>
      <c r="G72" s="243">
        <v>0.0622134191336687</v>
      </c>
      <c r="H72" s="244">
        <v>12.8972163316558</v>
      </c>
    </row>
    <row r="73" spans="2:8" ht="15.75">
      <c r="B73" s="28">
        <v>48453001833</v>
      </c>
      <c r="C73" s="243">
        <v>0.0274317476005964</v>
      </c>
      <c r="D73" s="244">
        <v>0.975838823720633</v>
      </c>
      <c r="E73" s="244">
        <v>110.416909152974</v>
      </c>
      <c r="F73" s="244">
        <v>0.222019</v>
      </c>
      <c r="G73" s="243">
        <v>0.067060546083635</v>
      </c>
      <c r="H73" s="244">
        <v>13.4566909191599</v>
      </c>
    </row>
    <row r="74" spans="2:8" ht="15.75">
      <c r="B74" s="28">
        <v>48453001834</v>
      </c>
      <c r="C74" s="243">
        <v>0.0231326392086335</v>
      </c>
      <c r="D74" s="244">
        <v>0.869271963679672</v>
      </c>
      <c r="E74" s="244">
        <v>100.97419014092</v>
      </c>
      <c r="F74" s="244">
        <v>0.0731812895701766</v>
      </c>
      <c r="G74" s="243">
        <v>0.060752042002786805</v>
      </c>
      <c r="H74" s="244">
        <v>12.1314629821231</v>
      </c>
    </row>
    <row r="75" spans="2:8" ht="15.75">
      <c r="B75" s="28">
        <v>48453001847</v>
      </c>
      <c r="C75" s="243">
        <v>0.023424205066501</v>
      </c>
      <c r="D75" s="244">
        <v>0.859081844771742</v>
      </c>
      <c r="E75" s="244">
        <v>97.6363681126248</v>
      </c>
      <c r="F75" s="244">
        <v>0.16756682456088</v>
      </c>
      <c r="G75" s="243">
        <v>0.057113784095851494</v>
      </c>
      <c r="H75" s="244">
        <v>13.254577459959</v>
      </c>
    </row>
    <row r="76" spans="2:8" ht="15.75">
      <c r="B76" s="28">
        <v>48453001835</v>
      </c>
      <c r="C76" s="243">
        <v>0.0196387156786435</v>
      </c>
      <c r="D76" s="244">
        <v>0.794338631810578</v>
      </c>
      <c r="E76" s="244">
        <v>89.3732133649761</v>
      </c>
      <c r="F76" s="244">
        <v>0.22980793251633</v>
      </c>
      <c r="G76" s="243">
        <v>0.0549125523013869</v>
      </c>
      <c r="H76" s="244">
        <v>11.7190148373251</v>
      </c>
    </row>
    <row r="77" spans="2:8" ht="15.75">
      <c r="B77" s="28">
        <v>48453001839</v>
      </c>
      <c r="C77" s="243">
        <v>0.0184728934706056</v>
      </c>
      <c r="D77" s="244">
        <v>0.759564088423645</v>
      </c>
      <c r="E77" s="244">
        <v>87.0104269952949</v>
      </c>
      <c r="F77" s="244">
        <v>0.203330324497993</v>
      </c>
      <c r="G77" s="243">
        <v>0.0488928575607233</v>
      </c>
      <c r="H77" s="244">
        <v>11.3279731201374</v>
      </c>
    </row>
    <row r="78" spans="2:8" ht="15.75">
      <c r="B78" s="28">
        <v>48453001844</v>
      </c>
      <c r="C78" s="243">
        <v>0.0247959464878081</v>
      </c>
      <c r="D78" s="244">
        <v>0.903357947168904</v>
      </c>
      <c r="E78" s="244">
        <v>105.355734104877</v>
      </c>
      <c r="F78" s="244">
        <v>0.222019</v>
      </c>
      <c r="G78" s="243">
        <v>0.0736376908680461</v>
      </c>
      <c r="H78" s="244">
        <v>15.6038004250082</v>
      </c>
    </row>
    <row r="79" spans="2:8" ht="15.75">
      <c r="B79" s="28">
        <v>48453001848</v>
      </c>
      <c r="C79" s="243">
        <v>0.0228302770189623</v>
      </c>
      <c r="D79" s="244">
        <v>0.851331904397701</v>
      </c>
      <c r="E79" s="244">
        <v>98.9360112911934</v>
      </c>
      <c r="F79" s="244">
        <v>0.136263118403133</v>
      </c>
      <c r="G79" s="243">
        <v>0.059132565768361595</v>
      </c>
      <c r="H79" s="244">
        <v>13.5105032525024</v>
      </c>
    </row>
    <row r="80" spans="2:8" ht="15.75">
      <c r="B80" s="28">
        <v>48453001850</v>
      </c>
      <c r="C80" s="243">
        <v>0.0246031334452999</v>
      </c>
      <c r="D80" s="244">
        <v>0.887361922208913</v>
      </c>
      <c r="E80" s="244">
        <v>103.672821203401</v>
      </c>
      <c r="F80" s="244">
        <v>0.367258819607413</v>
      </c>
      <c r="G80" s="243">
        <v>0.0699547640467275</v>
      </c>
      <c r="H80" s="244">
        <v>15.2773337747341</v>
      </c>
    </row>
    <row r="81" spans="2:8" ht="15.75">
      <c r="B81" s="28">
        <v>48453001851</v>
      </c>
      <c r="C81" s="243">
        <v>0.0202969173316397</v>
      </c>
      <c r="D81" s="244">
        <v>0.75545597672195</v>
      </c>
      <c r="E81" s="244">
        <v>82.899221114196</v>
      </c>
      <c r="F81" s="244">
        <v>0.222019</v>
      </c>
      <c r="G81" s="243">
        <v>0.0405159495425488</v>
      </c>
      <c r="H81" s="244">
        <v>10.020829814602</v>
      </c>
    </row>
    <row r="82" spans="2:8" ht="15.75">
      <c r="B82" s="28">
        <v>48453000102</v>
      </c>
      <c r="C82" s="243">
        <v>0.0348167011404128</v>
      </c>
      <c r="D82" s="244">
        <v>1.14173129417663</v>
      </c>
      <c r="E82" s="244">
        <v>163.465522254711</v>
      </c>
      <c r="F82" s="244">
        <v>0.239067856037663</v>
      </c>
      <c r="G82" s="243">
        <v>0.0836740319097291</v>
      </c>
      <c r="H82" s="244">
        <v>16.424231765438</v>
      </c>
    </row>
    <row r="83" spans="2:8" ht="15.75">
      <c r="B83" s="28">
        <v>48453000203</v>
      </c>
      <c r="C83" s="243">
        <v>0.0452439254751234</v>
      </c>
      <c r="D83" s="244">
        <v>1.38574847723886</v>
      </c>
      <c r="E83" s="244">
        <v>190.453457206982</v>
      </c>
      <c r="F83" s="244">
        <v>0.205501618122977</v>
      </c>
      <c r="G83" s="243">
        <v>0.0967977357000577</v>
      </c>
      <c r="H83" s="244">
        <v>17.7533101791657</v>
      </c>
    </row>
    <row r="84" spans="2:8" ht="15.75">
      <c r="B84" s="28">
        <v>48453000302</v>
      </c>
      <c r="C84" s="243">
        <v>0.045440339456200796</v>
      </c>
      <c r="D84" s="244">
        <v>1.38160692178102</v>
      </c>
      <c r="E84" s="244">
        <v>193.48132942634</v>
      </c>
      <c r="F84" s="244">
        <v>0.352092984334818</v>
      </c>
      <c r="G84" s="243">
        <v>0.0986996940676297</v>
      </c>
      <c r="H84" s="244">
        <v>17.6703028292311</v>
      </c>
    </row>
    <row r="85" spans="2:8" ht="15.75">
      <c r="B85" s="28">
        <v>48453000401</v>
      </c>
      <c r="C85" s="243">
        <v>0.046721289333009404</v>
      </c>
      <c r="D85" s="244">
        <v>1.39944368714591</v>
      </c>
      <c r="E85" s="244">
        <v>206.47612147354</v>
      </c>
      <c r="F85" s="244">
        <v>0.343481937000528</v>
      </c>
      <c r="G85" s="243">
        <v>0.10260588995373601</v>
      </c>
      <c r="H85" s="244">
        <v>17.9932850674829</v>
      </c>
    </row>
    <row r="86" spans="2:8" ht="15.75">
      <c r="B86" s="28">
        <v>48453001503</v>
      </c>
      <c r="C86" s="243">
        <v>0.0408123800517983</v>
      </c>
      <c r="D86" s="244">
        <v>1.28756905443041</v>
      </c>
      <c r="E86" s="244">
        <v>166.710348536331</v>
      </c>
      <c r="F86" s="244">
        <v>0.222019</v>
      </c>
      <c r="G86" s="243">
        <v>0.0908293690988999</v>
      </c>
      <c r="H86" s="244">
        <v>16.8896936958611</v>
      </c>
    </row>
    <row r="87" spans="2:8" ht="15.75">
      <c r="B87" s="28">
        <v>48453001402</v>
      </c>
      <c r="C87" s="243">
        <v>0.043149298263588196</v>
      </c>
      <c r="D87" s="244">
        <v>1.29119406498515</v>
      </c>
      <c r="E87" s="244">
        <v>221.889745577523</v>
      </c>
      <c r="F87" s="244">
        <v>0.162809531276629</v>
      </c>
      <c r="G87" s="243">
        <v>0.110298082875637</v>
      </c>
      <c r="H87" s="244">
        <v>19.1023484969458</v>
      </c>
    </row>
    <row r="88" spans="2:8" ht="15.75">
      <c r="B88" s="28">
        <v>48453001504</v>
      </c>
      <c r="C88" s="243">
        <v>0.0364653696842693</v>
      </c>
      <c r="D88" s="244">
        <v>1.19195094820477</v>
      </c>
      <c r="E88" s="244">
        <v>149.958445846725</v>
      </c>
      <c r="F88" s="244">
        <v>0.106514400367325</v>
      </c>
      <c r="G88" s="243">
        <v>0.0885844173313526</v>
      </c>
      <c r="H88" s="244">
        <v>17.2028699659706</v>
      </c>
    </row>
    <row r="89" spans="2:8" ht="15.75">
      <c r="B89" s="28">
        <v>48453001505</v>
      </c>
      <c r="C89" s="243">
        <v>0.037806576619847404</v>
      </c>
      <c r="D89" s="244">
        <v>1.22091076526797</v>
      </c>
      <c r="E89" s="244">
        <v>159.91562942455</v>
      </c>
      <c r="F89" s="244">
        <v>0.0606320944293522</v>
      </c>
      <c r="G89" s="243">
        <v>0.08706005025254919</v>
      </c>
      <c r="H89" s="244">
        <v>16.8126351714645</v>
      </c>
    </row>
    <row r="90" spans="2:8" ht="15.75">
      <c r="B90" s="28">
        <v>48453001501</v>
      </c>
      <c r="C90" s="243">
        <v>0.0350259795030615</v>
      </c>
      <c r="D90" s="244">
        <v>1.15514877663071</v>
      </c>
      <c r="E90" s="244">
        <v>150.578105651005</v>
      </c>
      <c r="F90" s="244">
        <v>0.293890378484793</v>
      </c>
      <c r="G90" s="243">
        <v>0.08355217361797139</v>
      </c>
      <c r="H90" s="244">
        <v>16.6643803389607</v>
      </c>
    </row>
    <row r="91" spans="2:8" ht="15.75">
      <c r="B91" s="28">
        <v>48453001602</v>
      </c>
      <c r="C91" s="243">
        <v>0.039873459225256</v>
      </c>
      <c r="D91" s="244">
        <v>1.24619599643212</v>
      </c>
      <c r="E91" s="244">
        <v>200.231183282452</v>
      </c>
      <c r="F91" s="244">
        <v>0.239475148175581</v>
      </c>
      <c r="G91" s="243">
        <v>0.09944090143473341</v>
      </c>
      <c r="H91" s="244">
        <v>18.4219389744174</v>
      </c>
    </row>
    <row r="92" spans="2:8" ht="15.75">
      <c r="B92" s="28">
        <v>48453002002</v>
      </c>
      <c r="C92" s="243">
        <v>0.0361389740646739</v>
      </c>
      <c r="D92" s="244">
        <v>1.12802957819497</v>
      </c>
      <c r="E92" s="244">
        <v>187.664520852394</v>
      </c>
      <c r="F92" s="244">
        <v>0.0373906207332225</v>
      </c>
      <c r="G92" s="243">
        <v>0.10946385961035</v>
      </c>
      <c r="H92" s="244">
        <v>19.0363492391887</v>
      </c>
    </row>
    <row r="93" spans="2:8" ht="15.75">
      <c r="B93" s="28">
        <v>48453002004</v>
      </c>
      <c r="C93" s="243">
        <v>0.0379976508254358</v>
      </c>
      <c r="D93" s="244">
        <v>1.17853018461695</v>
      </c>
      <c r="E93" s="244">
        <v>195.2183639336</v>
      </c>
      <c r="F93" s="244">
        <v>0.203450198705268</v>
      </c>
      <c r="G93" s="243">
        <v>0.11451220330601601</v>
      </c>
      <c r="H93" s="244">
        <v>19.787181314086</v>
      </c>
    </row>
    <row r="94" spans="2:8" ht="15.75">
      <c r="B94" s="28">
        <v>48453000901</v>
      </c>
      <c r="C94" s="243">
        <v>0.0449339624519592</v>
      </c>
      <c r="D94" s="244">
        <v>1.34538896072776</v>
      </c>
      <c r="E94" s="244">
        <v>221.419745212977</v>
      </c>
      <c r="F94" s="244">
        <v>0.204642153042043</v>
      </c>
      <c r="G94" s="243">
        <v>0.112212694370333</v>
      </c>
      <c r="H94" s="244">
        <v>19.2585443280241</v>
      </c>
    </row>
    <row r="95" spans="2:8" ht="15.75">
      <c r="B95" s="28">
        <v>48491020316</v>
      </c>
      <c r="C95" s="243">
        <v>0.0376562300594549</v>
      </c>
      <c r="D95" s="244">
        <v>0.85326738488726</v>
      </c>
      <c r="E95" s="244">
        <v>106.635334356665</v>
      </c>
      <c r="F95" s="244">
        <v>0.111409931110158</v>
      </c>
      <c r="G95" s="243">
        <v>0.0785498353044484</v>
      </c>
      <c r="H95" s="244">
        <v>12.4833666490045</v>
      </c>
    </row>
    <row r="96" spans="2:8" ht="15.75">
      <c r="B96" s="28">
        <v>48491020410</v>
      </c>
      <c r="C96" s="243">
        <v>0.031518192424458996</v>
      </c>
      <c r="D96" s="244">
        <v>0.921185501436127</v>
      </c>
      <c r="E96" s="244">
        <v>94.4563348705587</v>
      </c>
      <c r="F96" s="244">
        <v>0.165440037894449</v>
      </c>
      <c r="G96" s="243">
        <v>0.0769616781339226</v>
      </c>
      <c r="H96" s="244">
        <v>15.3998223083198</v>
      </c>
    </row>
    <row r="97" spans="2:8" ht="15.75">
      <c r="B97" s="28">
        <v>48491020403</v>
      </c>
      <c r="C97" s="243">
        <v>0.0367164639050135</v>
      </c>
      <c r="D97" s="244">
        <v>0.894082696260115</v>
      </c>
      <c r="E97" s="244">
        <v>95.9470952506495</v>
      </c>
      <c r="F97" s="244">
        <v>0.266316576882009</v>
      </c>
      <c r="G97" s="243">
        <v>0.0796573103904395</v>
      </c>
      <c r="H97" s="244">
        <v>13.5599274171362</v>
      </c>
    </row>
    <row r="98" spans="2:8" ht="15.75">
      <c r="B98" s="28">
        <v>48491020404</v>
      </c>
      <c r="C98" s="243">
        <v>0.0363275105936467</v>
      </c>
      <c r="D98" s="244">
        <v>0.881430490193234</v>
      </c>
      <c r="E98" s="244">
        <v>95.2178963083784</v>
      </c>
      <c r="F98" s="244">
        <v>0.188394831523256</v>
      </c>
      <c r="G98" s="243">
        <v>0.07669638034043069</v>
      </c>
      <c r="H98" s="244">
        <v>12.9895468662084</v>
      </c>
    </row>
    <row r="99" spans="2:8" ht="15.75">
      <c r="B99" s="28">
        <v>48453002201</v>
      </c>
      <c r="C99" s="243">
        <v>0.0261576298564094</v>
      </c>
      <c r="D99" s="244">
        <v>0.917203775615476</v>
      </c>
      <c r="E99" s="244">
        <v>112.049942893439</v>
      </c>
      <c r="F99" s="244">
        <v>0.222019</v>
      </c>
      <c r="G99" s="243">
        <v>0.0705341134027669</v>
      </c>
      <c r="H99" s="244">
        <v>13.0200955776727</v>
      </c>
    </row>
    <row r="100" spans="2:8" ht="15.75">
      <c r="B100" s="28">
        <v>48491020405</v>
      </c>
      <c r="C100" s="243">
        <v>0.03147963880384</v>
      </c>
      <c r="D100" s="244">
        <v>0.868343954428081</v>
      </c>
      <c r="E100" s="244">
        <v>94.7271954976021</v>
      </c>
      <c r="F100" s="244">
        <v>0.145854727008701</v>
      </c>
      <c r="G100" s="243">
        <v>0.0785154491858584</v>
      </c>
      <c r="H100" s="244">
        <v>14.5250279694379</v>
      </c>
    </row>
    <row r="101" spans="2:8" ht="15.75">
      <c r="B101" s="28">
        <v>48491020406</v>
      </c>
      <c r="C101" s="243">
        <v>0.0316351416722518</v>
      </c>
      <c r="D101" s="244">
        <v>0.906886304553775</v>
      </c>
      <c r="E101" s="244">
        <v>95.2161335447621</v>
      </c>
      <c r="F101" s="244">
        <v>0.122042467722932</v>
      </c>
      <c r="G101" s="243">
        <v>0.0785736271560481</v>
      </c>
      <c r="H101" s="244">
        <v>15.2370208117704</v>
      </c>
    </row>
    <row r="102" spans="2:8" ht="15.75">
      <c r="B102" s="28">
        <v>48491020503</v>
      </c>
      <c r="C102" s="243">
        <v>0.0255869249856118</v>
      </c>
      <c r="D102" s="244">
        <v>0.761557052312854</v>
      </c>
      <c r="E102" s="244">
        <v>81.9986302925883</v>
      </c>
      <c r="F102" s="244">
        <v>0.222019</v>
      </c>
      <c r="G102" s="243">
        <v>0.051558945457372996</v>
      </c>
      <c r="H102" s="244">
        <v>10.2543353613099</v>
      </c>
    </row>
    <row r="103" spans="2:8" ht="15.75">
      <c r="B103" s="28">
        <v>48491020504</v>
      </c>
      <c r="C103" s="243">
        <v>0.0206464109212165</v>
      </c>
      <c r="D103" s="244">
        <v>0.715234283006466</v>
      </c>
      <c r="E103" s="244">
        <v>81.4170753875046</v>
      </c>
      <c r="F103" s="244">
        <v>0.28982592912413</v>
      </c>
      <c r="G103" s="243">
        <v>0.0398042777102679</v>
      </c>
      <c r="H103" s="244">
        <v>9.25603637151503</v>
      </c>
    </row>
    <row r="104" spans="2:8" ht="15.75">
      <c r="B104" s="28">
        <v>48209010901</v>
      </c>
      <c r="C104" s="243">
        <v>0.014282714002041199</v>
      </c>
      <c r="D104" s="244">
        <v>0.582221348802297</v>
      </c>
      <c r="E104" s="244">
        <v>66.9877325051577</v>
      </c>
      <c r="F104" s="244">
        <v>0.222019</v>
      </c>
      <c r="G104" s="243">
        <v>0.026678720371817198</v>
      </c>
      <c r="H104" s="244">
        <v>8.60430655166751</v>
      </c>
    </row>
    <row r="105" spans="2:8" ht="15.75">
      <c r="B105" s="28">
        <v>48453001856</v>
      </c>
      <c r="C105" s="243">
        <v>0.00989777596744113</v>
      </c>
      <c r="D105" s="244">
        <v>0.537341893387482</v>
      </c>
      <c r="E105" s="244">
        <v>67.1129470960418</v>
      </c>
      <c r="F105" s="244">
        <v>0.222019</v>
      </c>
      <c r="G105" s="243">
        <v>0.040180547825739196</v>
      </c>
      <c r="H105" s="244">
        <v>7.94838088921874</v>
      </c>
    </row>
    <row r="106" spans="2:8" ht="15.75">
      <c r="B106" s="28">
        <v>48453002113</v>
      </c>
      <c r="C106" s="243">
        <v>0.0310066143885998</v>
      </c>
      <c r="D106" s="244">
        <v>1.03346896687536</v>
      </c>
      <c r="E106" s="244">
        <v>129.031910562398</v>
      </c>
      <c r="F106" s="244">
        <v>0.0365489058327413</v>
      </c>
      <c r="G106" s="243">
        <v>0.08133074738887659</v>
      </c>
      <c r="H106" s="244">
        <v>14.6799152876547</v>
      </c>
    </row>
    <row r="107" spans="2:8" ht="15.75">
      <c r="B107" s="28">
        <v>48453002112</v>
      </c>
      <c r="C107" s="243">
        <v>0.034145374072838804</v>
      </c>
      <c r="D107" s="244">
        <v>1.11026100865449</v>
      </c>
      <c r="E107" s="244">
        <v>141.8691900106</v>
      </c>
      <c r="F107" s="244">
        <v>0.121030806666636</v>
      </c>
      <c r="G107" s="243">
        <v>0.0849684723162866</v>
      </c>
      <c r="H107" s="244">
        <v>15.3373954294006</v>
      </c>
    </row>
    <row r="108" spans="2:8" ht="15.75">
      <c r="B108" s="28">
        <v>48453002202</v>
      </c>
      <c r="C108" s="243">
        <v>0.0156728688611496</v>
      </c>
      <c r="D108" s="244">
        <v>0.66732456081178</v>
      </c>
      <c r="E108" s="244">
        <v>85.4141769610111</v>
      </c>
      <c r="F108" s="244">
        <v>0.222019</v>
      </c>
      <c r="G108" s="243">
        <v>0.0530967614484332</v>
      </c>
      <c r="H108" s="244">
        <v>9.72565778348356</v>
      </c>
    </row>
    <row r="109" spans="2:8" ht="15.75">
      <c r="B109" s="28">
        <v>48453980000</v>
      </c>
      <c r="C109" s="243">
        <v>0.0168395096004295</v>
      </c>
      <c r="D109" s="244">
        <v>0.643747115716243</v>
      </c>
      <c r="E109" s="244">
        <v>110.083700659878</v>
      </c>
      <c r="F109" s="244">
        <v>0.222019</v>
      </c>
      <c r="G109" s="243">
        <v>0.0629676911015791</v>
      </c>
      <c r="H109" s="244">
        <v>11.7139469288476</v>
      </c>
    </row>
    <row r="110" spans="2:8" ht="15.75">
      <c r="B110" s="28">
        <v>48453002304</v>
      </c>
      <c r="C110" s="243">
        <v>0.041720677355246795</v>
      </c>
      <c r="D110" s="244">
        <v>1.24985399069586</v>
      </c>
      <c r="E110" s="244">
        <v>217.352901577388</v>
      </c>
      <c r="F110" s="244">
        <v>0.240189167822589</v>
      </c>
      <c r="G110" s="243">
        <v>0.107641722483359</v>
      </c>
      <c r="H110" s="244">
        <v>18.5868423215233</v>
      </c>
    </row>
    <row r="111" spans="2:8" ht="15.75">
      <c r="B111" s="28">
        <v>48453002308</v>
      </c>
      <c r="C111" s="243">
        <v>0.0410721266757501</v>
      </c>
      <c r="D111" s="244">
        <v>1.23655567161855</v>
      </c>
      <c r="E111" s="244">
        <v>207.096727854943</v>
      </c>
      <c r="F111" s="244">
        <v>0.371352134467222</v>
      </c>
      <c r="G111" s="243">
        <v>0.103839556650634</v>
      </c>
      <c r="H111" s="244">
        <v>18.2025352315689</v>
      </c>
    </row>
    <row r="112" spans="2:8" ht="15.75">
      <c r="B112" s="28">
        <v>48453002312</v>
      </c>
      <c r="C112" s="243">
        <v>0.0291131939900973</v>
      </c>
      <c r="D112" s="244">
        <v>0.939381779157539</v>
      </c>
      <c r="E112" s="244">
        <v>167.729115174097</v>
      </c>
      <c r="F112" s="244">
        <v>0.0763779982550909</v>
      </c>
      <c r="G112" s="243">
        <v>0.08759861068204991</v>
      </c>
      <c r="H112" s="244">
        <v>15.2634508937672</v>
      </c>
    </row>
    <row r="113" spans="2:8" ht="15.75">
      <c r="B113" s="28">
        <v>48453002314</v>
      </c>
      <c r="C113" s="243">
        <v>0.0358745840902814</v>
      </c>
      <c r="D113" s="244">
        <v>1.09622466134561</v>
      </c>
      <c r="E113" s="244">
        <v>197.494454571564</v>
      </c>
      <c r="F113" s="244">
        <v>0.198789062263842</v>
      </c>
      <c r="G113" s="243">
        <v>0.0936686837280533</v>
      </c>
      <c r="H113" s="244">
        <v>16.4256077998149</v>
      </c>
    </row>
    <row r="114" spans="2:8" ht="15.75">
      <c r="B114" s="28">
        <v>48453002316</v>
      </c>
      <c r="C114" s="243">
        <v>0.040749537470338895</v>
      </c>
      <c r="D114" s="244">
        <v>1.22023541833454</v>
      </c>
      <c r="E114" s="244">
        <v>213.16370497584</v>
      </c>
      <c r="F114" s="244">
        <v>0.222019</v>
      </c>
      <c r="G114" s="243">
        <v>0.10352770329162601</v>
      </c>
      <c r="H114" s="244">
        <v>17.9642608500553</v>
      </c>
    </row>
    <row r="115" spans="2:8" ht="15.75">
      <c r="B115" s="28">
        <v>48453002403</v>
      </c>
      <c r="C115" s="243">
        <v>0.0359396436155304</v>
      </c>
      <c r="D115" s="244">
        <v>1.10645399910361</v>
      </c>
      <c r="E115" s="244">
        <v>182.46185569286</v>
      </c>
      <c r="F115" s="244">
        <v>0.14904159172967</v>
      </c>
      <c r="G115" s="243">
        <v>0.0980126527891089</v>
      </c>
      <c r="H115" s="244">
        <v>17.3479014391132</v>
      </c>
    </row>
    <row r="116" spans="2:8" ht="15.75">
      <c r="B116" s="28">
        <v>48453002409</v>
      </c>
      <c r="C116" s="243">
        <v>0.031758461539266196</v>
      </c>
      <c r="D116" s="244">
        <v>1.01910937922148</v>
      </c>
      <c r="E116" s="244">
        <v>163.243707715733</v>
      </c>
      <c r="F116" s="244">
        <v>0.146926384608919</v>
      </c>
      <c r="G116" s="243">
        <v>0.08964348826416339</v>
      </c>
      <c r="H116" s="244">
        <v>16.4547776398249</v>
      </c>
    </row>
    <row r="117" spans="2:8" ht="15.75">
      <c r="B117" s="28">
        <v>48453002410</v>
      </c>
      <c r="C117" s="243">
        <v>0.0330376679617729</v>
      </c>
      <c r="D117" s="244">
        <v>1.04524047568198</v>
      </c>
      <c r="E117" s="244">
        <v>167.836948338589</v>
      </c>
      <c r="F117" s="244">
        <v>0.278194009262789</v>
      </c>
      <c r="G117" s="243">
        <v>0.0913382790244794</v>
      </c>
      <c r="H117" s="244">
        <v>16.6737593498121</v>
      </c>
    </row>
    <row r="118" spans="2:8" ht="15.75">
      <c r="B118" s="28">
        <v>48453002411</v>
      </c>
      <c r="C118" s="243">
        <v>0.032731270693546304</v>
      </c>
      <c r="D118" s="244">
        <v>1.02264032618546</v>
      </c>
      <c r="E118" s="244">
        <v>166.975489157652</v>
      </c>
      <c r="F118" s="244">
        <v>0.222019</v>
      </c>
      <c r="G118" s="243">
        <v>0.08695664868950569</v>
      </c>
      <c r="H118" s="244">
        <v>15.6579396156647</v>
      </c>
    </row>
    <row r="119" spans="2:8" ht="15.75">
      <c r="B119" s="28">
        <v>48453002412</v>
      </c>
      <c r="C119" s="243">
        <v>0.0282748761898576</v>
      </c>
      <c r="D119" s="244">
        <v>0.912714836194394</v>
      </c>
      <c r="E119" s="244">
        <v>143.55995160291</v>
      </c>
      <c r="F119" s="244">
        <v>0.222019</v>
      </c>
      <c r="G119" s="243">
        <v>0.0738770892840101</v>
      </c>
      <c r="H119" s="244">
        <v>13.8816188494755</v>
      </c>
    </row>
    <row r="120" spans="2:8" ht="15.75">
      <c r="B120" s="28">
        <v>48453002413</v>
      </c>
      <c r="C120" s="243">
        <v>0.028937356109958602</v>
      </c>
      <c r="D120" s="244">
        <v>0.92813306980529</v>
      </c>
      <c r="E120" s="244">
        <v>149.072239423638</v>
      </c>
      <c r="F120" s="244">
        <v>0.222019</v>
      </c>
      <c r="G120" s="243">
        <v>0.0769064398592821</v>
      </c>
      <c r="H120" s="244">
        <v>14.2415262757172</v>
      </c>
    </row>
    <row r="121" spans="2:8" ht="15.75">
      <c r="B121" s="28">
        <v>48453002419</v>
      </c>
      <c r="C121" s="243">
        <v>0.0298145858679375</v>
      </c>
      <c r="D121" s="244">
        <v>0.950745282324727</v>
      </c>
      <c r="E121" s="244">
        <v>146.946571606457</v>
      </c>
      <c r="F121" s="244">
        <v>0.222019</v>
      </c>
      <c r="G121" s="243">
        <v>0.0753400366079689</v>
      </c>
      <c r="H121" s="244">
        <v>14.1546466799587</v>
      </c>
    </row>
    <row r="122" spans="2:8" ht="15.75">
      <c r="B122" s="28">
        <v>48453002422</v>
      </c>
      <c r="C122" s="243">
        <v>0.028763139965686003</v>
      </c>
      <c r="D122" s="244">
        <v>0.931818766165979</v>
      </c>
      <c r="E122" s="244">
        <v>140.762359689532</v>
      </c>
      <c r="F122" s="244">
        <v>0.198329853862212</v>
      </c>
      <c r="G122" s="243">
        <v>0.0695164147980313</v>
      </c>
      <c r="H122" s="244">
        <v>13.6525985403383</v>
      </c>
    </row>
    <row r="123" spans="2:8" ht="15.75">
      <c r="B123" s="28">
        <v>48453002423</v>
      </c>
      <c r="C123" s="243">
        <v>0.0260989891465352</v>
      </c>
      <c r="D123" s="244">
        <v>0.88067561564263</v>
      </c>
      <c r="E123" s="244">
        <v>121.064098683403</v>
      </c>
      <c r="F123" s="244">
        <v>0.0371471025260029</v>
      </c>
      <c r="G123" s="243">
        <v>0.0576380367858284</v>
      </c>
      <c r="H123" s="244">
        <v>11.9495670397207</v>
      </c>
    </row>
    <row r="124" spans="2:8" ht="15.75">
      <c r="B124" s="28">
        <v>48453002424</v>
      </c>
      <c r="C124" s="243">
        <v>0.0283775724934396</v>
      </c>
      <c r="D124" s="244">
        <v>0.935889553161772</v>
      </c>
      <c r="E124" s="244">
        <v>144.776937379486</v>
      </c>
      <c r="F124" s="244">
        <v>0.149763102831504</v>
      </c>
      <c r="G124" s="243">
        <v>0.074896772781029</v>
      </c>
      <c r="H124" s="244">
        <v>14.4178483801093</v>
      </c>
    </row>
    <row r="125" spans="2:8" ht="15.75">
      <c r="B125" s="28">
        <v>48453001742</v>
      </c>
      <c r="C125" s="243">
        <v>0.032204442623418</v>
      </c>
      <c r="D125" s="244">
        <v>0.719362399748976</v>
      </c>
      <c r="E125" s="244">
        <v>128.163092501081</v>
      </c>
      <c r="F125" s="244">
        <v>0.122185532621613</v>
      </c>
      <c r="G125" s="243">
        <v>0.15013533923332</v>
      </c>
      <c r="H125" s="244">
        <v>16.8021502655619</v>
      </c>
    </row>
    <row r="126" spans="2:8" ht="15.75">
      <c r="B126" s="28">
        <v>48453001760</v>
      </c>
      <c r="C126" s="243">
        <v>0.0441735068962549</v>
      </c>
      <c r="D126" s="244">
        <v>0.785426238138816</v>
      </c>
      <c r="E126" s="244">
        <v>83.8044933513795</v>
      </c>
      <c r="F126" s="244">
        <v>0.173843758861522</v>
      </c>
      <c r="G126" s="243">
        <v>0.09789262447105801</v>
      </c>
      <c r="H126" s="244">
        <v>10.5824187790531</v>
      </c>
    </row>
    <row r="127" spans="2:8" ht="15.75">
      <c r="B127" s="28">
        <v>48453001826</v>
      </c>
      <c r="C127" s="243">
        <v>0.0223174281994335</v>
      </c>
      <c r="D127" s="244">
        <v>0.845070939518754</v>
      </c>
      <c r="E127" s="244">
        <v>97.1493032011374</v>
      </c>
      <c r="F127" s="244">
        <v>0.222019</v>
      </c>
      <c r="G127" s="243">
        <v>0.0618354177391368</v>
      </c>
      <c r="H127" s="244">
        <v>13.6866225518935</v>
      </c>
    </row>
    <row r="128" spans="2:8" ht="15.75">
      <c r="B128" s="28">
        <v>48453001746</v>
      </c>
      <c r="C128" s="243">
        <v>0.0248016195821539</v>
      </c>
      <c r="D128" s="244">
        <v>0.871766697378584</v>
      </c>
      <c r="E128" s="244">
        <v>111.208394032109</v>
      </c>
      <c r="F128" s="244">
        <v>0.138834983600858</v>
      </c>
      <c r="G128" s="243">
        <v>0.0567953822185311</v>
      </c>
      <c r="H128" s="244">
        <v>11.5237497288342</v>
      </c>
    </row>
    <row r="129" spans="2:8" ht="15.75">
      <c r="B129" s="28">
        <v>48453002310</v>
      </c>
      <c r="C129" s="243">
        <v>0.0214226239761469</v>
      </c>
      <c r="D129" s="244">
        <v>0.757647659424632</v>
      </c>
      <c r="E129" s="244">
        <v>131.693348620946</v>
      </c>
      <c r="F129" s="244">
        <v>0.222019</v>
      </c>
      <c r="G129" s="243">
        <v>0.0732459761831451</v>
      </c>
      <c r="H129" s="244">
        <v>13.2536905050724</v>
      </c>
    </row>
    <row r="130" spans="2:8" ht="15.75">
      <c r="B130" s="28">
        <v>48453000700</v>
      </c>
      <c r="C130" s="243">
        <v>0.0482988146150364</v>
      </c>
      <c r="D130" s="244">
        <v>1.43310551138257</v>
      </c>
      <c r="E130" s="244">
        <v>225.93225937833</v>
      </c>
      <c r="F130" s="244">
        <v>0.530413060003505</v>
      </c>
      <c r="G130" s="243">
        <v>0.107636836075509</v>
      </c>
      <c r="H130" s="244">
        <v>19.012235461072</v>
      </c>
    </row>
    <row r="131" spans="2:8" ht="15.75">
      <c r="B131" s="28">
        <v>48453001765</v>
      </c>
      <c r="C131" s="243">
        <v>0.0308484036096617</v>
      </c>
      <c r="D131" s="244">
        <v>0.726595152423779</v>
      </c>
      <c r="E131" s="244">
        <v>90.8537201588968</v>
      </c>
      <c r="F131" s="244">
        <v>0.124101289354177</v>
      </c>
      <c r="G131" s="243">
        <v>0.07572965236189849</v>
      </c>
      <c r="H131" s="244">
        <v>10.8183101590432</v>
      </c>
    </row>
    <row r="132" spans="2:8" ht="15.75">
      <c r="B132" s="28">
        <v>48453001737</v>
      </c>
      <c r="C132" s="243">
        <v>0.0187797210173106</v>
      </c>
      <c r="D132" s="244">
        <v>0.74259406243622</v>
      </c>
      <c r="E132" s="244">
        <v>102.468150793314</v>
      </c>
      <c r="F132" s="244">
        <v>0.161373776198535</v>
      </c>
      <c r="G132" s="243">
        <v>0.07013383830511849</v>
      </c>
      <c r="H132" s="244">
        <v>13.208365722198</v>
      </c>
    </row>
    <row r="133" spans="2:8" ht="15.75">
      <c r="B133" s="28">
        <v>48453002003</v>
      </c>
      <c r="C133" s="243">
        <v>0.037617405611427596</v>
      </c>
      <c r="D133" s="244">
        <v>1.15593556303503</v>
      </c>
      <c r="E133" s="244">
        <v>191.327298706113</v>
      </c>
      <c r="F133" s="244">
        <v>0.365319865319865</v>
      </c>
      <c r="G133" s="243">
        <v>0.105225410113293</v>
      </c>
      <c r="H133" s="244">
        <v>18.4224399889308</v>
      </c>
    </row>
    <row r="134" spans="2:8" ht="15.75">
      <c r="B134" s="28">
        <v>48453001819</v>
      </c>
      <c r="C134" s="243">
        <v>0.0335242169789792</v>
      </c>
      <c r="D134" s="244">
        <v>1.12279374168657</v>
      </c>
      <c r="E134" s="244">
        <v>129.628766163464</v>
      </c>
      <c r="F134" s="244">
        <v>0.240566037735849</v>
      </c>
      <c r="G134" s="243">
        <v>0.079459644480303</v>
      </c>
      <c r="H134" s="244">
        <v>15.9070337771669</v>
      </c>
    </row>
    <row r="135" spans="2:8" ht="15.75">
      <c r="B135" s="28">
        <v>48453001714</v>
      </c>
      <c r="C135" s="243">
        <v>0.033289775024029605</v>
      </c>
      <c r="D135" s="244">
        <v>0.820116637068375</v>
      </c>
      <c r="E135" s="244">
        <v>92.0809882918976</v>
      </c>
      <c r="F135" s="244">
        <v>0.0718901271342896</v>
      </c>
      <c r="G135" s="243">
        <v>0.07700580698233131</v>
      </c>
      <c r="H135" s="244">
        <v>12.3383524258502</v>
      </c>
    </row>
    <row r="136" spans="2:8" ht="15.75">
      <c r="B136" s="28">
        <v>48453001604</v>
      </c>
      <c r="C136" s="243">
        <v>0.0379531473134704</v>
      </c>
      <c r="D136" s="244">
        <v>1.2036452925637</v>
      </c>
      <c r="E136" s="244">
        <v>185.26090196142</v>
      </c>
      <c r="F136" s="244">
        <v>0.201117648886505</v>
      </c>
      <c r="G136" s="243">
        <v>0.09395005414514519</v>
      </c>
      <c r="H136" s="244">
        <v>17.6855091495946</v>
      </c>
    </row>
    <row r="137" spans="2:8" ht="15.75">
      <c r="B137" s="28">
        <v>48453001748</v>
      </c>
      <c r="C137" s="243">
        <v>0.0250448512119387</v>
      </c>
      <c r="D137" s="244">
        <v>0.852084363925364</v>
      </c>
      <c r="E137" s="244">
        <v>103.616094454378</v>
      </c>
      <c r="F137" s="244">
        <v>0.040090215998393</v>
      </c>
      <c r="G137" s="243">
        <v>0.057811865663453504</v>
      </c>
      <c r="H137" s="244">
        <v>11.3918146233471</v>
      </c>
    </row>
    <row r="138" spans="2:8" ht="15.75">
      <c r="B138" s="28">
        <v>48453002315</v>
      </c>
      <c r="C138" s="243">
        <v>0.0407675482047415</v>
      </c>
      <c r="D138" s="244">
        <v>1.22232713523689</v>
      </c>
      <c r="E138" s="244">
        <v>212.349861552398</v>
      </c>
      <c r="F138" s="244">
        <v>0.376401179920861</v>
      </c>
      <c r="G138" s="243">
        <v>0.10201444397239999</v>
      </c>
      <c r="H138" s="244">
        <v>17.7506457596976</v>
      </c>
    </row>
    <row r="139" spans="2:8" ht="15.75">
      <c r="B139" s="28">
        <v>48453001901</v>
      </c>
      <c r="C139" s="243">
        <v>0.0383907983917328</v>
      </c>
      <c r="D139" s="244">
        <v>1.19348916464545</v>
      </c>
      <c r="E139" s="244">
        <v>199.185542527753</v>
      </c>
      <c r="F139" s="244">
        <v>0.229808299926409</v>
      </c>
      <c r="G139" s="243">
        <v>0.106730478308427</v>
      </c>
      <c r="H139" s="244">
        <v>18.8744113570944</v>
      </c>
    </row>
    <row r="140" spans="2:8" ht="15.75">
      <c r="B140" s="28">
        <v>48453002402</v>
      </c>
      <c r="C140" s="243">
        <v>0.033066753014697296</v>
      </c>
      <c r="D140" s="244">
        <v>1.03836979148531</v>
      </c>
      <c r="E140" s="244">
        <v>165.36674243799</v>
      </c>
      <c r="F140" s="244">
        <v>0.211786691226109</v>
      </c>
      <c r="G140" s="243">
        <v>0.08731711740923499</v>
      </c>
      <c r="H140" s="244">
        <v>16.0606346806438</v>
      </c>
    </row>
    <row r="141" spans="2:8" ht="15.75">
      <c r="B141" s="28">
        <v>48453001308</v>
      </c>
      <c r="C141" s="243">
        <v>0.0413611976318875</v>
      </c>
      <c r="D141" s="244">
        <v>1.24787418599014</v>
      </c>
      <c r="E141" s="244">
        <v>206.704555522248</v>
      </c>
      <c r="F141" s="244">
        <v>0.13281051120593</v>
      </c>
      <c r="G141" s="243">
        <v>0.107264533672672</v>
      </c>
      <c r="H141" s="244">
        <v>18.7310907020024</v>
      </c>
    </row>
    <row r="142" spans="2:8" ht="15.75">
      <c r="B142" s="28">
        <v>48453001911</v>
      </c>
      <c r="C142" s="243">
        <v>0.0367783386941843</v>
      </c>
      <c r="D142" s="244">
        <v>1.16708093844655</v>
      </c>
      <c r="E142" s="244">
        <v>186.990268867693</v>
      </c>
      <c r="F142" s="244">
        <v>0.286600791438545</v>
      </c>
      <c r="G142" s="243">
        <v>0.102865795302165</v>
      </c>
      <c r="H142" s="244">
        <v>18.7105783501478</v>
      </c>
    </row>
    <row r="143" spans="2:8" ht="15.75">
      <c r="B143" s="28">
        <v>48453000101</v>
      </c>
      <c r="C143" s="243">
        <v>0.0394442583282851</v>
      </c>
      <c r="D143" s="244">
        <v>1.2520415697822</v>
      </c>
      <c r="E143" s="244">
        <v>176.698437694931</v>
      </c>
      <c r="F143" s="244">
        <v>0.0922269893675598</v>
      </c>
      <c r="G143" s="243">
        <v>0.0905328384700457</v>
      </c>
      <c r="H143" s="244">
        <v>17.2882196655326</v>
      </c>
    </row>
    <row r="144" spans="2:8" ht="15.75">
      <c r="B144" s="28">
        <v>48453002313</v>
      </c>
      <c r="C144" s="243">
        <v>0.036019857249193404</v>
      </c>
      <c r="D144" s="244">
        <v>1.10152503458998</v>
      </c>
      <c r="E144" s="244">
        <v>194.564508308688</v>
      </c>
      <c r="F144" s="244">
        <v>0.328345186443353</v>
      </c>
      <c r="G144" s="243">
        <v>0.0943399932347571</v>
      </c>
      <c r="H144" s="244">
        <v>16.5568192193389</v>
      </c>
    </row>
    <row r="145" spans="2:8" ht="15.75">
      <c r="B145" s="28">
        <v>48453001849</v>
      </c>
      <c r="C145" s="243">
        <v>0.0261818516976677</v>
      </c>
      <c r="D145" s="244">
        <v>0.928779370873473</v>
      </c>
      <c r="E145" s="244">
        <v>109.889583167507</v>
      </c>
      <c r="F145" s="244">
        <v>0.362476451481542</v>
      </c>
      <c r="G145" s="243">
        <v>0.08114690682839071</v>
      </c>
      <c r="H145" s="244">
        <v>16.8410428268786</v>
      </c>
    </row>
    <row r="146" spans="2:8" ht="15.75">
      <c r="B146" s="28">
        <v>48453002421</v>
      </c>
      <c r="C146" s="243">
        <v>0.026135059376347</v>
      </c>
      <c r="D146" s="244">
        <v>0.867148567900173</v>
      </c>
      <c r="E146" s="244">
        <v>109.76021825882</v>
      </c>
      <c r="F146" s="244">
        <v>0.0592192426302727</v>
      </c>
      <c r="G146" s="243">
        <v>0.0493035955219174</v>
      </c>
      <c r="H146" s="244">
        <v>10.7102455909812</v>
      </c>
    </row>
    <row r="147" spans="2:8" ht="15.75">
      <c r="B147" s="28">
        <v>48453001910</v>
      </c>
      <c r="C147" s="243">
        <v>0.0332983611255449</v>
      </c>
      <c r="D147" s="244">
        <v>1.08636509993112</v>
      </c>
      <c r="E147" s="244">
        <v>173.687312222001</v>
      </c>
      <c r="F147" s="244">
        <v>0.244839453069682</v>
      </c>
      <c r="G147" s="243">
        <v>0.101239043491754</v>
      </c>
      <c r="H147" s="244">
        <v>18.5024504167667</v>
      </c>
    </row>
    <row r="148" spans="2:8" ht="15.75">
      <c r="B148" s="28">
        <v>48453002407</v>
      </c>
      <c r="C148" s="243">
        <v>0.0232056494603344</v>
      </c>
      <c r="D148" s="244">
        <v>0.749772758436042</v>
      </c>
      <c r="E148" s="244">
        <v>84.8989600796885</v>
      </c>
      <c r="F148" s="244">
        <v>0.222019</v>
      </c>
      <c r="G148" s="243">
        <v>0.0447280896314871</v>
      </c>
      <c r="H148" s="244">
        <v>10.1435472383564</v>
      </c>
    </row>
    <row r="149" spans="2:8" ht="15.75">
      <c r="B149" s="28">
        <v>48453001761</v>
      </c>
      <c r="C149" s="243">
        <v>0.0143774982029928</v>
      </c>
      <c r="D149" s="244">
        <v>0.605112064054246</v>
      </c>
      <c r="E149" s="244">
        <v>94.1430198656729</v>
      </c>
      <c r="F149" s="244">
        <v>0.241863705652812</v>
      </c>
      <c r="G149" s="243">
        <v>0.054878795928277706</v>
      </c>
      <c r="H149" s="244">
        <v>11.1423680405895</v>
      </c>
    </row>
    <row r="150" spans="2:8" ht="15.75">
      <c r="B150" s="28">
        <v>48453001755</v>
      </c>
      <c r="C150" s="243">
        <v>0.023709127024640102</v>
      </c>
      <c r="D150" s="244">
        <v>0.809176211600523</v>
      </c>
      <c r="E150" s="244">
        <v>104.202723783525</v>
      </c>
      <c r="F150" s="244">
        <v>0.222019</v>
      </c>
      <c r="G150" s="243">
        <v>0.07746919465583049</v>
      </c>
      <c r="H150" s="244">
        <v>15.9740233723892</v>
      </c>
    </row>
    <row r="151" spans="2:8" ht="15.75">
      <c r="B151" s="28">
        <v>48453001733</v>
      </c>
      <c r="C151" s="243">
        <v>0.0158464514010262</v>
      </c>
      <c r="D151" s="244">
        <v>0.681627234397349</v>
      </c>
      <c r="E151" s="244">
        <v>90.9898059205745</v>
      </c>
      <c r="F151" s="244">
        <v>0.222019</v>
      </c>
      <c r="G151" s="243">
        <v>0.06266844366638159</v>
      </c>
      <c r="H151" s="244">
        <v>11.9057657846811</v>
      </c>
    </row>
    <row r="152" spans="2:8" ht="15.75">
      <c r="B152" s="28">
        <v>48453001738</v>
      </c>
      <c r="C152" s="243">
        <v>0.020412507230052702</v>
      </c>
      <c r="D152" s="244">
        <v>0.791242133111051</v>
      </c>
      <c r="E152" s="244">
        <v>110.859323827213</v>
      </c>
      <c r="F152" s="244">
        <v>0.186118642568316</v>
      </c>
      <c r="G152" s="243">
        <v>0.0704250059037584</v>
      </c>
      <c r="H152" s="244">
        <v>13.4998561809111</v>
      </c>
    </row>
    <row r="153" spans="2:8" ht="15.75">
      <c r="B153" s="28">
        <v>48453001741</v>
      </c>
      <c r="C153" s="243">
        <v>0.031341286294684204</v>
      </c>
      <c r="D153" s="244">
        <v>0.629624029369463</v>
      </c>
      <c r="E153" s="244">
        <v>102.264848768843</v>
      </c>
      <c r="F153" s="244">
        <v>0.292208206088271</v>
      </c>
      <c r="G153" s="243">
        <v>0.16706297530536</v>
      </c>
      <c r="H153" s="244">
        <v>15.4117368889043</v>
      </c>
    </row>
    <row r="154" spans="2:8" ht="15.75">
      <c r="B154" s="28">
        <v>48453002110</v>
      </c>
      <c r="C154" s="243">
        <v>0.0340037047085148</v>
      </c>
      <c r="D154" s="244">
        <v>1.08239732666154</v>
      </c>
      <c r="E154" s="244">
        <v>167.723169157068</v>
      </c>
      <c r="F154" s="244">
        <v>0.0225754237748963</v>
      </c>
      <c r="G154" s="243">
        <v>0.0948467281958116</v>
      </c>
      <c r="H154" s="244">
        <v>16.1867776915152</v>
      </c>
    </row>
    <row r="155" spans="2:8" ht="15.75">
      <c r="B155" s="28">
        <v>48453000802</v>
      </c>
      <c r="C155" s="243">
        <v>0.0425203190295512</v>
      </c>
      <c r="D155" s="244">
        <v>1.28739490142688</v>
      </c>
      <c r="E155" s="244">
        <v>202.978527741943</v>
      </c>
      <c r="F155" s="244">
        <v>0.27332057785576</v>
      </c>
      <c r="G155" s="243">
        <v>0.104190499193428</v>
      </c>
      <c r="H155" s="244">
        <v>17.8565140519257</v>
      </c>
    </row>
    <row r="156" spans="2:8" ht="15.75">
      <c r="B156" s="28">
        <v>48453002111</v>
      </c>
      <c r="C156" s="243">
        <v>0.033350283271235896</v>
      </c>
      <c r="D156" s="244">
        <v>1.05900015728312</v>
      </c>
      <c r="E156" s="244">
        <v>176.345221696301</v>
      </c>
      <c r="F156" s="244">
        <v>0.0171295103831343</v>
      </c>
      <c r="G156" s="243">
        <v>0.0972644165384678</v>
      </c>
      <c r="H156" s="244">
        <v>16.6211326199457</v>
      </c>
    </row>
    <row r="157" spans="2:8" ht="15.75">
      <c r="B157" s="28">
        <v>48453001912</v>
      </c>
      <c r="C157" s="243">
        <v>0.0119851614470967</v>
      </c>
      <c r="D157" s="244">
        <v>0.590957923727206</v>
      </c>
      <c r="E157" s="244">
        <v>98.8941115424254</v>
      </c>
      <c r="F157" s="244">
        <v>0.193999555188055</v>
      </c>
      <c r="G157" s="243">
        <v>0.058288164484568</v>
      </c>
      <c r="H157" s="244">
        <v>12.7034154461478</v>
      </c>
    </row>
    <row r="158" spans="2:8" ht="15.75">
      <c r="B158" s="28">
        <v>48453000402</v>
      </c>
      <c r="C158" s="243">
        <v>0.0451529045966037</v>
      </c>
      <c r="D158" s="244">
        <v>1.35692120720515</v>
      </c>
      <c r="E158" s="244">
        <v>202.905330354529</v>
      </c>
      <c r="F158" s="244">
        <v>0.048076923076923</v>
      </c>
      <c r="G158" s="243">
        <v>0.101178842234611</v>
      </c>
      <c r="H158" s="244">
        <v>17.6040688385188</v>
      </c>
    </row>
    <row r="159" spans="2:8" ht="15.75">
      <c r="B159" s="28">
        <v>48453000803</v>
      </c>
      <c r="C159" s="243">
        <v>0.0459491689159448</v>
      </c>
      <c r="D159" s="244">
        <v>1.37325826317392</v>
      </c>
      <c r="E159" s="244">
        <v>214.515325350901</v>
      </c>
      <c r="F159" s="244">
        <v>0.13795901108908</v>
      </c>
      <c r="G159" s="243">
        <v>0.105427118240189</v>
      </c>
      <c r="H159" s="244">
        <v>18.2546807485345</v>
      </c>
    </row>
    <row r="160" spans="2:8" ht="15.75">
      <c r="B160" s="28">
        <v>48453000500</v>
      </c>
      <c r="C160" s="243">
        <v>0.0470970223473459</v>
      </c>
      <c r="D160" s="244">
        <v>1.41638269396442</v>
      </c>
      <c r="E160" s="244">
        <v>204.885636072819</v>
      </c>
      <c r="F160" s="244">
        <v>0.258031969285209</v>
      </c>
      <c r="G160" s="243">
        <v>0.102467035250891</v>
      </c>
      <c r="H160" s="244">
        <v>18.2794246103357</v>
      </c>
    </row>
    <row r="161" spans="2:8" ht="15.75">
      <c r="B161" s="28">
        <v>48209010908</v>
      </c>
      <c r="C161" s="243">
        <v>0.0165816766994283</v>
      </c>
      <c r="D161" s="244">
        <v>0.501046927118344</v>
      </c>
      <c r="E161" s="244">
        <v>68.1258619242238</v>
      </c>
      <c r="F161" s="244">
        <v>0.222019</v>
      </c>
      <c r="G161" s="243">
        <v>0.0366056210533622</v>
      </c>
      <c r="H161" s="244">
        <v>9.4945007283253</v>
      </c>
    </row>
    <row r="162" spans="2:8" ht="15.75">
      <c r="B162" s="28">
        <v>48453000601</v>
      </c>
      <c r="C162" s="243">
        <v>0.0482623655474545</v>
      </c>
      <c r="D162" s="244">
        <v>1.43646883265773</v>
      </c>
      <c r="E162" s="244">
        <v>217.928037647383</v>
      </c>
      <c r="F162" s="244">
        <v>0.222019</v>
      </c>
      <c r="G162" s="243">
        <v>0.10491671154566</v>
      </c>
      <c r="H162" s="244">
        <v>18.6499080408862</v>
      </c>
    </row>
    <row r="163" spans="2:8" ht="15.75">
      <c r="B163" s="28">
        <v>48453000804</v>
      </c>
      <c r="C163" s="243">
        <v>0.0456789083301847</v>
      </c>
      <c r="D163" s="244">
        <v>1.36567046111949</v>
      </c>
      <c r="E163" s="244">
        <v>219.60337485602</v>
      </c>
      <c r="F163" s="244">
        <v>0.17648291735705</v>
      </c>
      <c r="G163" s="243">
        <v>0.10917245744176199</v>
      </c>
      <c r="H163" s="244">
        <v>18.8031631644481</v>
      </c>
    </row>
    <row r="164" spans="2:8" ht="15.75">
      <c r="B164" s="28">
        <v>48453000603</v>
      </c>
      <c r="C164" s="243">
        <v>0.047835239295226</v>
      </c>
      <c r="D164" s="244">
        <v>1.43025196262042</v>
      </c>
      <c r="E164" s="244">
        <v>215.259679190602</v>
      </c>
      <c r="F164" s="244">
        <v>0.300370755921733</v>
      </c>
      <c r="G164" s="243">
        <v>0.104549883256126</v>
      </c>
      <c r="H164" s="244">
        <v>18.7707812975021</v>
      </c>
    </row>
    <row r="165" spans="2:8" ht="15.75">
      <c r="B165" s="28">
        <v>48453000604</v>
      </c>
      <c r="C165" s="243">
        <v>0.047945430781301604</v>
      </c>
      <c r="D165" s="244">
        <v>1.42751877162926</v>
      </c>
      <c r="E165" s="244">
        <v>220.615516082473</v>
      </c>
      <c r="F165" s="244">
        <v>0.297285097314398</v>
      </c>
      <c r="G165" s="243">
        <v>0.10467126743425301</v>
      </c>
      <c r="H165" s="244">
        <v>18.7572490286559</v>
      </c>
    </row>
    <row r="166" spans="2:8" ht="15.75">
      <c r="B166" s="28">
        <v>48491020508</v>
      </c>
      <c r="C166" s="243">
        <v>0.0346762295265468</v>
      </c>
      <c r="D166" s="244">
        <v>0.842698502839705</v>
      </c>
      <c r="E166" s="244">
        <v>93.6865131640324</v>
      </c>
      <c r="F166" s="244">
        <v>0.120664875724318</v>
      </c>
      <c r="G166" s="243">
        <v>0.0771611225492323</v>
      </c>
      <c r="H166" s="244">
        <v>12.9136290266592</v>
      </c>
    </row>
    <row r="167" spans="2:8" ht="15.75">
      <c r="B167" s="28">
        <v>48491020409</v>
      </c>
      <c r="C167" s="243">
        <v>0.0331049369706194</v>
      </c>
      <c r="D167" s="244">
        <v>0.885730617893613</v>
      </c>
      <c r="E167" s="244">
        <v>90.8768193776784</v>
      </c>
      <c r="F167" s="244">
        <v>0.126137942322678</v>
      </c>
      <c r="G167" s="243">
        <v>0.0773744829023149</v>
      </c>
      <c r="H167" s="244">
        <v>14.3771599086367</v>
      </c>
    </row>
    <row r="168" spans="2:8" ht="15.75">
      <c r="B168" s="28">
        <v>48453002428</v>
      </c>
      <c r="C168" s="243">
        <v>0.0226344641532846</v>
      </c>
      <c r="D168" s="244">
        <v>0.742246970374608</v>
      </c>
      <c r="E168" s="244">
        <v>82.6450474409329</v>
      </c>
      <c r="F168" s="244">
        <v>0.104873843071005</v>
      </c>
      <c r="G168" s="243">
        <v>0.0497890250637497</v>
      </c>
      <c r="H168" s="244">
        <v>10.4659346119716</v>
      </c>
    </row>
    <row r="169" spans="2:8" ht="15.75">
      <c r="B169" s="28">
        <v>48453002318</v>
      </c>
      <c r="C169" s="243">
        <v>0.0337321613450782</v>
      </c>
      <c r="D169" s="244">
        <v>1.04704674224056</v>
      </c>
      <c r="E169" s="244">
        <v>188.529772608281</v>
      </c>
      <c r="F169" s="244">
        <v>0.243247622034012</v>
      </c>
      <c r="G169" s="243">
        <v>0.0914252953172378</v>
      </c>
      <c r="H169" s="244">
        <v>15.9797999044187</v>
      </c>
    </row>
    <row r="170" spans="2:8" ht="15.75">
      <c r="B170" s="28">
        <v>48491020411</v>
      </c>
      <c r="C170" s="243">
        <v>0.032077534703081</v>
      </c>
      <c r="D170" s="244">
        <v>0.918110510957005</v>
      </c>
      <c r="E170" s="244">
        <v>91.4238503948385</v>
      </c>
      <c r="F170" s="244">
        <v>0.222019</v>
      </c>
      <c r="G170" s="243">
        <v>0.0757093096594263</v>
      </c>
      <c r="H170" s="244">
        <v>15.0628305674728</v>
      </c>
    </row>
    <row r="171" spans="2:8" ht="15.75">
      <c r="B171" s="28">
        <v>48453002433</v>
      </c>
      <c r="C171" s="243">
        <v>0.00934670283618688</v>
      </c>
      <c r="D171" s="244">
        <v>0.406299692486906</v>
      </c>
      <c r="E171" s="244">
        <v>60.0839858709974</v>
      </c>
      <c r="F171" s="244">
        <v>0.222019</v>
      </c>
      <c r="G171" s="243">
        <v>0.0457700550738853</v>
      </c>
      <c r="H171" s="244">
        <v>6.6953848596428</v>
      </c>
    </row>
    <row r="172" spans="2:8" ht="15.75">
      <c r="B172" s="28">
        <v>48453002319</v>
      </c>
      <c r="C172" s="243">
        <v>0.0136823241472285</v>
      </c>
      <c r="D172" s="244">
        <v>0.547495029535256</v>
      </c>
      <c r="E172" s="244">
        <v>87.8191677827079</v>
      </c>
      <c r="F172" s="244">
        <v>0.222019</v>
      </c>
      <c r="G172" s="243">
        <v>0.041329643304630695</v>
      </c>
      <c r="H172" s="244">
        <v>9.16320179177057</v>
      </c>
    </row>
    <row r="173" spans="2:8" ht="15.75">
      <c r="B173" s="28">
        <v>48453002426</v>
      </c>
      <c r="C173" s="243">
        <v>0.0235086455813179</v>
      </c>
      <c r="D173" s="244">
        <v>0.767789425381857</v>
      </c>
      <c r="E173" s="244">
        <v>89.4852247554137</v>
      </c>
      <c r="F173" s="244">
        <v>0.222019</v>
      </c>
      <c r="G173" s="243">
        <v>0.0453840808469358</v>
      </c>
      <c r="H173" s="244">
        <v>9.39244271442791</v>
      </c>
    </row>
    <row r="174" spans="2:8" ht="15.75">
      <c r="B174" s="28">
        <v>48453001919</v>
      </c>
      <c r="C174" s="243">
        <v>0.031925048110101</v>
      </c>
      <c r="D174" s="244">
        <v>1.05584299655565</v>
      </c>
      <c r="E174" s="244">
        <v>169.344910476939</v>
      </c>
      <c r="F174" s="244">
        <v>0.222019</v>
      </c>
      <c r="G174" s="243">
        <v>0.09561653108824819</v>
      </c>
      <c r="H174" s="244">
        <v>17.8183810365443</v>
      </c>
    </row>
    <row r="175" spans="2:8" ht="15.75">
      <c r="B175" s="28">
        <v>48491020509</v>
      </c>
      <c r="C175" s="243">
        <v>0.028927178402357798</v>
      </c>
      <c r="D175" s="244">
        <v>0.731951680647106</v>
      </c>
      <c r="E175" s="244">
        <v>84.5671428541025</v>
      </c>
      <c r="F175" s="244">
        <v>0.222019</v>
      </c>
      <c r="G175" s="243">
        <v>0.0640301143180516</v>
      </c>
      <c r="H175" s="244">
        <v>10.7572807607497</v>
      </c>
    </row>
    <row r="176" spans="2:8" ht="15.75">
      <c r="B176" s="28">
        <v>48453001916</v>
      </c>
      <c r="C176" s="243">
        <v>0.0148369299305334</v>
      </c>
      <c r="D176" s="244">
        <v>0.660741935967289</v>
      </c>
      <c r="E176" s="244">
        <v>85.4498213497635</v>
      </c>
      <c r="F176" s="244">
        <v>0.222019</v>
      </c>
      <c r="G176" s="243">
        <v>0.0608149792188713</v>
      </c>
      <c r="H176" s="244">
        <v>12.6073788738775</v>
      </c>
    </row>
    <row r="177" spans="2:8" ht="15.75">
      <c r="B177" s="28">
        <v>48453001783</v>
      </c>
      <c r="C177" s="243">
        <v>0.006621813086258171</v>
      </c>
      <c r="D177" s="244">
        <v>0.494569533707259</v>
      </c>
      <c r="E177" s="244">
        <v>67.2972387935182</v>
      </c>
      <c r="F177" s="244">
        <v>0.0848651711591538</v>
      </c>
      <c r="G177" s="243">
        <v>0.0646505290138011</v>
      </c>
      <c r="H177" s="244">
        <v>12.5629889651291</v>
      </c>
    </row>
    <row r="178" spans="2:8" ht="15.75">
      <c r="B178" s="28">
        <v>48453001756</v>
      </c>
      <c r="C178" s="243">
        <v>0.0280696692662416</v>
      </c>
      <c r="D178" s="244">
        <v>0.888937720162306</v>
      </c>
      <c r="E178" s="244">
        <v>102.972502426956</v>
      </c>
      <c r="F178" s="244">
        <v>0.222019</v>
      </c>
      <c r="G178" s="243">
        <v>0.0825158176247815</v>
      </c>
      <c r="H178" s="244">
        <v>16.6622301343022</v>
      </c>
    </row>
    <row r="179" spans="2:8" ht="15.75">
      <c r="B179" s="28">
        <v>48453001918</v>
      </c>
      <c r="C179" s="243">
        <v>0.0250858589565961</v>
      </c>
      <c r="D179" s="244">
        <v>0.895971582740837</v>
      </c>
      <c r="E179" s="244">
        <v>143.202101506084</v>
      </c>
      <c r="F179" s="244">
        <v>0.222019</v>
      </c>
      <c r="G179" s="243">
        <v>0.0844646998964116</v>
      </c>
      <c r="H179" s="244">
        <v>16.1841898574915</v>
      </c>
    </row>
    <row r="180" spans="2:8" ht="15.75">
      <c r="B180" s="28">
        <v>48453001784</v>
      </c>
      <c r="C180" s="243">
        <v>0.023604518993119997</v>
      </c>
      <c r="D180" s="244">
        <v>0.839253915893579</v>
      </c>
      <c r="E180" s="244">
        <v>92.9004066863426</v>
      </c>
      <c r="F180" s="244">
        <v>0.110456553755522</v>
      </c>
      <c r="G180" s="243">
        <v>0.052287754493093794</v>
      </c>
      <c r="H180" s="244">
        <v>11.2439613061345</v>
      </c>
    </row>
    <row r="181" spans="2:8" ht="15.75">
      <c r="B181" s="28">
        <v>48453001775</v>
      </c>
      <c r="C181" s="243">
        <v>0.0169464759834357</v>
      </c>
      <c r="D181" s="244">
        <v>0.671103927677594</v>
      </c>
      <c r="E181" s="244">
        <v>85.6063465479116</v>
      </c>
      <c r="F181" s="244">
        <v>0.135673863611438</v>
      </c>
      <c r="G181" s="243">
        <v>0.052079169362539895</v>
      </c>
      <c r="H181" s="244">
        <v>10.4255794073285</v>
      </c>
    </row>
    <row r="182" spans="2:8" ht="15.75">
      <c r="B182" s="28">
        <v>48453001770</v>
      </c>
      <c r="C182" s="243">
        <v>0.015209435769415301</v>
      </c>
      <c r="D182" s="244">
        <v>0.654292330284657</v>
      </c>
      <c r="E182" s="244">
        <v>90.0271198747678</v>
      </c>
      <c r="F182" s="244">
        <v>0.222019</v>
      </c>
      <c r="G182" s="243">
        <v>0.0627935261996972</v>
      </c>
      <c r="H182" s="244">
        <v>11.8241213933527</v>
      </c>
    </row>
    <row r="183" spans="2:8" ht="15.75">
      <c r="B183" s="28">
        <v>48453002210</v>
      </c>
      <c r="C183" s="243">
        <v>0.0013832860428674401</v>
      </c>
      <c r="D183" s="244">
        <v>0.326244809097437</v>
      </c>
      <c r="E183" s="244">
        <v>67.2307186677372</v>
      </c>
      <c r="F183" s="244">
        <v>0.222019</v>
      </c>
      <c r="G183" s="243">
        <v>0.0151801073128233</v>
      </c>
      <c r="H183" s="244">
        <v>4.64307978435819</v>
      </c>
    </row>
    <row r="184" spans="2:8" ht="15.75">
      <c r="B184" s="28">
        <v>48453002207</v>
      </c>
      <c r="C184" s="243">
        <v>0.00566321118968718</v>
      </c>
      <c r="D184" s="244">
        <v>0.4051974825017</v>
      </c>
      <c r="E184" s="244">
        <v>79.9015674046097</v>
      </c>
      <c r="F184" s="244">
        <v>0.025459061994036</v>
      </c>
      <c r="G184" s="243">
        <v>0.026733408504447297</v>
      </c>
      <c r="H184" s="244">
        <v>5.83202283529312</v>
      </c>
    </row>
    <row r="185" spans="2:8" ht="15.75">
      <c r="B185" s="28">
        <v>48453001917</v>
      </c>
      <c r="C185" s="243">
        <v>0.0199424372980411</v>
      </c>
      <c r="D185" s="244">
        <v>0.775771276358047</v>
      </c>
      <c r="E185" s="244">
        <v>128.296255560689</v>
      </c>
      <c r="F185" s="244">
        <v>0.109398865155598</v>
      </c>
      <c r="G185" s="243">
        <v>0.0846581792633344</v>
      </c>
      <c r="H185" s="244">
        <v>16.0538200470292</v>
      </c>
    </row>
    <row r="186" spans="2:8" ht="15.75">
      <c r="B186" s="28">
        <v>48453001914</v>
      </c>
      <c r="C186" s="243">
        <v>0.0218972557820286</v>
      </c>
      <c r="D186" s="244">
        <v>0.824929860666419</v>
      </c>
      <c r="E186" s="244">
        <v>132.093373445392</v>
      </c>
      <c r="F186" s="244">
        <v>0.161830119422134</v>
      </c>
      <c r="G186" s="243">
        <v>0.0844707083122795</v>
      </c>
      <c r="H186" s="244">
        <v>15.8707205111158</v>
      </c>
    </row>
    <row r="187" spans="2:8" ht="15.75">
      <c r="B187" s="28">
        <v>48453002429</v>
      </c>
      <c r="C187" s="243">
        <v>0.0283878906347421</v>
      </c>
      <c r="D187" s="244">
        <v>0.898328220024398</v>
      </c>
      <c r="E187" s="244">
        <v>114.892679547588</v>
      </c>
      <c r="F187" s="244">
        <v>0.222019</v>
      </c>
      <c r="G187" s="243">
        <v>0.051370609194903</v>
      </c>
      <c r="H187" s="244">
        <v>10.9741044254606</v>
      </c>
    </row>
    <row r="188" spans="2:8" ht="15.75">
      <c r="B188" s="28">
        <v>48453002430</v>
      </c>
      <c r="C188" s="243">
        <v>0.0258514833396689</v>
      </c>
      <c r="D188" s="244">
        <v>0.841186189477867</v>
      </c>
      <c r="E188" s="244">
        <v>119.200962531123</v>
      </c>
      <c r="F188" s="244">
        <v>0.222019</v>
      </c>
      <c r="G188" s="243">
        <v>0.0562847338445333</v>
      </c>
      <c r="H188" s="244">
        <v>11.4443889922003</v>
      </c>
    </row>
    <row r="189" spans="2:8" ht="15.75">
      <c r="B189" s="28">
        <v>48453000304</v>
      </c>
      <c r="C189" s="243">
        <v>0.04365070817303281</v>
      </c>
      <c r="D189" s="244">
        <v>1.34442689131411</v>
      </c>
      <c r="E189" s="244">
        <v>182.354451347378</v>
      </c>
      <c r="F189" s="244">
        <v>0.222019</v>
      </c>
      <c r="G189" s="243">
        <v>0.09508013435782481</v>
      </c>
      <c r="H189" s="244">
        <v>17.1169747385796</v>
      </c>
    </row>
    <row r="190" spans="2:8" ht="15.75">
      <c r="B190" s="28">
        <v>48453001774</v>
      </c>
      <c r="C190" s="243">
        <v>0.0215477396187463</v>
      </c>
      <c r="D190" s="244">
        <v>0.746045893057804</v>
      </c>
      <c r="E190" s="244">
        <v>94.0030549316869</v>
      </c>
      <c r="F190" s="244">
        <v>0.222019</v>
      </c>
      <c r="G190" s="243">
        <v>0.0503233950040452</v>
      </c>
      <c r="H190" s="244">
        <v>10.3201934172105</v>
      </c>
    </row>
    <row r="191" spans="2:8" ht="15.75">
      <c r="B191" s="28">
        <v>48453001846</v>
      </c>
      <c r="C191" s="243">
        <v>0.026044227503587602</v>
      </c>
      <c r="D191" s="244">
        <v>0.893623263707371</v>
      </c>
      <c r="E191" s="244">
        <v>97.4065303362701</v>
      </c>
      <c r="F191" s="244">
        <v>0.13639396287451</v>
      </c>
      <c r="G191" s="243">
        <v>0.063571070426664</v>
      </c>
      <c r="H191" s="244">
        <v>14.2130984051693</v>
      </c>
    </row>
    <row r="192" spans="2:8" ht="15.75">
      <c r="B192" s="28">
        <v>48453000206</v>
      </c>
      <c r="C192" s="243">
        <v>0.0404363861461996</v>
      </c>
      <c r="D192" s="244">
        <v>1.27787423033458</v>
      </c>
      <c r="E192" s="244">
        <v>174.559753659434</v>
      </c>
      <c r="F192" s="244">
        <v>0.25470360689437</v>
      </c>
      <c r="G192" s="243">
        <v>0.0906665482301347</v>
      </c>
      <c r="H192" s="244">
        <v>17.204323765128</v>
      </c>
    </row>
    <row r="193" spans="2:8" ht="15.75">
      <c r="B193" s="28">
        <v>48453000305</v>
      </c>
      <c r="C193" s="243">
        <v>0.044242036843241205</v>
      </c>
      <c r="D193" s="244">
        <v>1.36256819439852</v>
      </c>
      <c r="E193" s="244">
        <v>183.881777329712</v>
      </c>
      <c r="F193" s="244">
        <v>0.172279547445984</v>
      </c>
      <c r="G193" s="243">
        <v>0.09417752062541769</v>
      </c>
      <c r="H193" s="244">
        <v>17.2208161343588</v>
      </c>
    </row>
    <row r="194" spans="2:8" ht="15.75">
      <c r="B194" s="28">
        <v>48453000205</v>
      </c>
      <c r="C194" s="243">
        <v>0.0409103821741557</v>
      </c>
      <c r="D194" s="244">
        <v>1.2910300197451</v>
      </c>
      <c r="E194" s="244">
        <v>173.782738018581</v>
      </c>
      <c r="F194" s="244">
        <v>0.182283638808941</v>
      </c>
      <c r="G194" s="243">
        <v>0.09050483659966779</v>
      </c>
      <c r="H194" s="244">
        <v>17.1045346806454</v>
      </c>
    </row>
    <row r="195" spans="2:8" ht="15.75">
      <c r="B195" s="28">
        <v>48453000307</v>
      </c>
      <c r="C195" s="243">
        <v>0.0434206398143435</v>
      </c>
      <c r="D195" s="244">
        <v>1.32750726893298</v>
      </c>
      <c r="E195" s="244">
        <v>187.90426704012</v>
      </c>
      <c r="F195" s="244">
        <v>0.222019</v>
      </c>
      <c r="G195" s="243">
        <v>0.0968050009681655</v>
      </c>
      <c r="H195" s="244">
        <v>17.1001125350837</v>
      </c>
    </row>
    <row r="196" spans="2:8" ht="15.75">
      <c r="B196" s="28">
        <v>48453001757</v>
      </c>
      <c r="C196" s="243">
        <v>0.0214310680938791</v>
      </c>
      <c r="D196" s="244">
        <v>0.80082726816888</v>
      </c>
      <c r="E196" s="244">
        <v>109.236929397958</v>
      </c>
      <c r="F196" s="244">
        <v>0.171263494066913</v>
      </c>
      <c r="G196" s="243">
        <v>0.0807353966836755</v>
      </c>
      <c r="H196" s="244">
        <v>16.8355184106565</v>
      </c>
    </row>
    <row r="197" spans="2:8" ht="15.75">
      <c r="B197" s="28">
        <v>48453001781</v>
      </c>
      <c r="C197" s="243">
        <v>0.0297020222432162</v>
      </c>
      <c r="D197" s="244">
        <v>0.845986449418746</v>
      </c>
      <c r="E197" s="244">
        <v>92.5562811150603</v>
      </c>
      <c r="F197" s="244">
        <v>0.143869863352956</v>
      </c>
      <c r="G197" s="243">
        <v>0.0750941069629179</v>
      </c>
      <c r="H197" s="244">
        <v>14.24979488893</v>
      </c>
    </row>
    <row r="198" spans="2:8" ht="15.75">
      <c r="B198" s="28">
        <v>48453001864</v>
      </c>
      <c r="C198" s="243">
        <v>0.024157358193639</v>
      </c>
      <c r="D198" s="244">
        <v>0.853001221032428</v>
      </c>
      <c r="E198" s="244">
        <v>91.0075463987403</v>
      </c>
      <c r="F198" s="244">
        <v>0.222019</v>
      </c>
      <c r="G198" s="243">
        <v>0.0529273162048171</v>
      </c>
      <c r="H198" s="244">
        <v>12.3656175743472</v>
      </c>
    </row>
    <row r="199" spans="2:8" ht="15.75">
      <c r="B199" s="28">
        <v>48453001772</v>
      </c>
      <c r="C199" s="243">
        <v>0.022641041775315198</v>
      </c>
      <c r="D199" s="244">
        <v>0.759453390294002</v>
      </c>
      <c r="E199" s="244">
        <v>93.4258453267506</v>
      </c>
      <c r="F199" s="244">
        <v>0.137845510381823</v>
      </c>
      <c r="G199" s="243">
        <v>0.0474114538738383</v>
      </c>
      <c r="H199" s="244">
        <v>10.0236623805879</v>
      </c>
    </row>
    <row r="200" spans="2:8" ht="15.75">
      <c r="B200" s="28">
        <v>48453001777</v>
      </c>
      <c r="C200" s="243">
        <v>0.022160600468803603</v>
      </c>
      <c r="D200" s="244">
        <v>0.829132315092028</v>
      </c>
      <c r="E200" s="244">
        <v>109.588654163992</v>
      </c>
      <c r="F200" s="244">
        <v>0.222019</v>
      </c>
      <c r="G200" s="243">
        <v>0.0627439676998384</v>
      </c>
      <c r="H200" s="244">
        <v>12.4529922614557</v>
      </c>
    </row>
    <row r="201" spans="2:8" ht="15.75">
      <c r="B201" s="28">
        <v>48491020318</v>
      </c>
      <c r="C201" s="243">
        <v>0.0379681458737416</v>
      </c>
      <c r="D201" s="244">
        <v>0.872110556668057</v>
      </c>
      <c r="E201" s="244">
        <v>102.373513120015</v>
      </c>
      <c r="F201" s="244">
        <v>0.222019</v>
      </c>
      <c r="G201" s="243">
        <v>0.079509022240221</v>
      </c>
      <c r="H201" s="244">
        <v>12.6570009454314</v>
      </c>
    </row>
    <row r="202" spans="2:8" ht="15.75">
      <c r="B202" s="28">
        <v>48491020317</v>
      </c>
      <c r="C202" s="243">
        <v>0.0323951963711258</v>
      </c>
      <c r="D202" s="244">
        <v>0.743031570195348</v>
      </c>
      <c r="E202" s="244">
        <v>98.2403476635782</v>
      </c>
      <c r="F202" s="244">
        <v>0.0982240998391296</v>
      </c>
      <c r="G202" s="243">
        <v>0.06530661245871759</v>
      </c>
      <c r="H202" s="244">
        <v>10.6923888625054</v>
      </c>
    </row>
    <row r="203" spans="2:8" ht="15.75">
      <c r="B203" s="28">
        <v>48491020510</v>
      </c>
      <c r="C203" s="243">
        <v>0.0310940483793409</v>
      </c>
      <c r="D203" s="244">
        <v>0.787859211878043</v>
      </c>
      <c r="E203" s="244">
        <v>85.9809093689439</v>
      </c>
      <c r="F203" s="244">
        <v>0.222019</v>
      </c>
      <c r="G203" s="243">
        <v>0.07248124557374519</v>
      </c>
      <c r="H203" s="244">
        <v>12.104905325168</v>
      </c>
    </row>
    <row r="204" spans="2:8" ht="15.75">
      <c r="B204" s="28">
        <v>48491020311</v>
      </c>
      <c r="C204" s="243">
        <v>0.037100542678196</v>
      </c>
      <c r="D204" s="244">
        <v>0.877300707247171</v>
      </c>
      <c r="E204" s="244">
        <v>99.3282749649981</v>
      </c>
      <c r="F204" s="244">
        <v>0.113734626798028</v>
      </c>
      <c r="G204" s="243">
        <v>0.07733771335047711</v>
      </c>
      <c r="H204" s="244">
        <v>12.8787307194924</v>
      </c>
    </row>
    <row r="205" spans="2:8" ht="15.75">
      <c r="B205" s="28">
        <v>48491020408</v>
      </c>
      <c r="C205" s="243">
        <v>0.0329040002307948</v>
      </c>
      <c r="D205" s="244">
        <v>0.873983039152788</v>
      </c>
      <c r="E205" s="244">
        <v>93.9811130175417</v>
      </c>
      <c r="F205" s="244">
        <v>0.0896538054968287</v>
      </c>
      <c r="G205" s="243">
        <v>0.08039449105500919</v>
      </c>
      <c r="H205" s="244">
        <v>14.4894215877893</v>
      </c>
    </row>
    <row r="206" spans="2:8" ht="15.75">
      <c r="B206" s="28">
        <v>48453001786</v>
      </c>
      <c r="C206" s="243">
        <v>0.0297675608445775</v>
      </c>
      <c r="D206" s="244">
        <v>0.922074099685725</v>
      </c>
      <c r="E206" s="244">
        <v>97.4734690620316</v>
      </c>
      <c r="F206" s="244">
        <v>0.222019</v>
      </c>
      <c r="G206" s="243">
        <v>0.0779389065260063</v>
      </c>
      <c r="H206" s="244">
        <v>16.0732079922417</v>
      </c>
    </row>
    <row r="207" spans="2:8" ht="15.75">
      <c r="B207" s="28">
        <v>48453001857</v>
      </c>
      <c r="C207" s="243">
        <v>0.0159319828676731</v>
      </c>
      <c r="D207" s="244">
        <v>0.674857928856525</v>
      </c>
      <c r="E207" s="244">
        <v>86.9060724800638</v>
      </c>
      <c r="F207" s="244">
        <v>0.222019</v>
      </c>
      <c r="G207" s="243">
        <v>0.0339212811470524</v>
      </c>
      <c r="H207" s="244">
        <v>8.42424653005018</v>
      </c>
    </row>
    <row r="208" spans="2:8" ht="15.75">
      <c r="B208" s="28">
        <v>48453001915</v>
      </c>
      <c r="C208" s="243">
        <v>0.030989478809344998</v>
      </c>
      <c r="D208" s="244">
        <v>0.963485708189588</v>
      </c>
      <c r="E208" s="244">
        <v>143.179170054928</v>
      </c>
      <c r="F208" s="244">
        <v>0.222019</v>
      </c>
      <c r="G208" s="243">
        <v>0.0896394251179686</v>
      </c>
      <c r="H208" s="244">
        <v>16.5277163146281</v>
      </c>
    </row>
    <row r="209" spans="2:8" ht="15.75">
      <c r="B209" s="28">
        <v>48453002425</v>
      </c>
      <c r="C209" s="243">
        <v>0.0270125520078259</v>
      </c>
      <c r="D209" s="244">
        <v>0.857281537300922</v>
      </c>
      <c r="E209" s="244">
        <v>98.546623437796</v>
      </c>
      <c r="F209" s="244">
        <v>0.222019</v>
      </c>
      <c r="G209" s="243">
        <v>0.043726645551824796</v>
      </c>
      <c r="H209" s="244">
        <v>9.76055085040847</v>
      </c>
    </row>
    <row r="210" spans="2:8" ht="15.75">
      <c r="B210" s="28">
        <v>48453001776</v>
      </c>
      <c r="C210" s="243">
        <v>0.0225821088396032</v>
      </c>
      <c r="D210" s="244">
        <v>0.838059914129414</v>
      </c>
      <c r="E210" s="244">
        <v>122.527743920798</v>
      </c>
      <c r="F210" s="244">
        <v>0.222019</v>
      </c>
      <c r="G210" s="243">
        <v>0.0721487134603999</v>
      </c>
      <c r="H210" s="244">
        <v>13.9634336205254</v>
      </c>
    </row>
    <row r="211" spans="2:8" ht="15.75">
      <c r="B211" s="28">
        <v>48453002434</v>
      </c>
      <c r="C211" s="243">
        <v>0.0158939913248168</v>
      </c>
      <c r="D211" s="244">
        <v>0.533260350376431</v>
      </c>
      <c r="E211" s="244">
        <v>76.8947842481021</v>
      </c>
      <c r="F211" s="244">
        <v>0.222019</v>
      </c>
      <c r="G211" s="243">
        <v>0.033083613129401404</v>
      </c>
      <c r="H211" s="244">
        <v>8.25025270142516</v>
      </c>
    </row>
    <row r="212" spans="2:8" ht="15.75">
      <c r="B212" s="28">
        <v>48453002208</v>
      </c>
      <c r="C212" s="243">
        <v>0.0224588220051056</v>
      </c>
      <c r="D212" s="244">
        <v>0.810076403180703</v>
      </c>
      <c r="E212" s="244">
        <v>115.837328984358</v>
      </c>
      <c r="F212" s="244">
        <v>0.222019</v>
      </c>
      <c r="G212" s="243">
        <v>0.0693041536195924</v>
      </c>
      <c r="H212" s="244">
        <v>12.383436600801</v>
      </c>
    </row>
    <row r="213" spans="2:8" ht="15.75">
      <c r="B213" s="28">
        <v>48453001785</v>
      </c>
      <c r="C213" s="243">
        <v>0.0311349499263389</v>
      </c>
      <c r="D213" s="244">
        <v>0.935309638812316</v>
      </c>
      <c r="E213" s="244">
        <v>92.1250569616922</v>
      </c>
      <c r="F213" s="244">
        <v>0.222019</v>
      </c>
      <c r="G213" s="243">
        <v>0.0735095164347968</v>
      </c>
      <c r="H213" s="244">
        <v>15.2202143019551</v>
      </c>
    </row>
    <row r="214" spans="2:8" ht="15.75">
      <c r="B214" s="28">
        <v>48453002431</v>
      </c>
      <c r="C214" s="243">
        <v>0.0250552535017686</v>
      </c>
      <c r="D214" s="244">
        <v>0.832471223676774</v>
      </c>
      <c r="E214" s="244">
        <v>135.234479228051</v>
      </c>
      <c r="F214" s="244">
        <v>0.222019</v>
      </c>
      <c r="G214" s="243">
        <v>0.07033441004487749</v>
      </c>
      <c r="H214" s="244">
        <v>12.9614960767088</v>
      </c>
    </row>
    <row r="215" spans="2:8" ht="15.75">
      <c r="B215" s="28">
        <v>48453002211</v>
      </c>
      <c r="C215" s="243">
        <v>0.011642963405407</v>
      </c>
      <c r="D215" s="244">
        <v>0.55232905223625</v>
      </c>
      <c r="E215" s="244">
        <v>82.3794734380329</v>
      </c>
      <c r="F215" s="244">
        <v>0.222019</v>
      </c>
      <c r="G215" s="243">
        <v>0.0432823606689292</v>
      </c>
      <c r="H215" s="244">
        <v>8.80360790915824</v>
      </c>
    </row>
    <row r="216" spans="2:8" ht="15.75">
      <c r="B216" s="28">
        <v>48453002427</v>
      </c>
      <c r="C216" s="243">
        <v>0.0268770008108362</v>
      </c>
      <c r="D216" s="244">
        <v>0.87440080500971</v>
      </c>
      <c r="E216" s="244">
        <v>130.054833461272</v>
      </c>
      <c r="F216" s="244">
        <v>0.12966110724131</v>
      </c>
      <c r="G216" s="243">
        <v>0.0628396683214395</v>
      </c>
      <c r="H216" s="244">
        <v>12.474577977143</v>
      </c>
    </row>
    <row r="217" spans="2:8" ht="15.75">
      <c r="B217" s="28">
        <v>48453002317</v>
      </c>
      <c r="C217" s="243">
        <v>0.031378784262259</v>
      </c>
      <c r="D217" s="244">
        <v>0.997232776150136</v>
      </c>
      <c r="E217" s="244">
        <v>175.944938026837</v>
      </c>
      <c r="F217" s="244">
        <v>0.151619125498437</v>
      </c>
      <c r="G217" s="243">
        <v>0.09125868771076959</v>
      </c>
      <c r="H217" s="244">
        <v>15.8025703033425</v>
      </c>
    </row>
    <row r="218" spans="2:8" ht="15.75">
      <c r="B218" s="28">
        <v>48453001863</v>
      </c>
      <c r="C218" s="243">
        <v>0.0208085045841487</v>
      </c>
      <c r="D218" s="244">
        <v>0.799664203425528</v>
      </c>
      <c r="E218" s="244">
        <v>91.5309052252322</v>
      </c>
      <c r="F218" s="244">
        <v>0.222019</v>
      </c>
      <c r="G218" s="243">
        <v>0.0462384757842317</v>
      </c>
      <c r="H218" s="244">
        <v>11.3460652569245</v>
      </c>
    </row>
    <row r="219" spans="2:8" ht="15.75">
      <c r="B219" s="28">
        <v>48453000306</v>
      </c>
      <c r="C219" s="243">
        <v>0.040790055385337795</v>
      </c>
      <c r="D219" s="244">
        <v>1.26011571353119</v>
      </c>
      <c r="E219" s="244">
        <v>177.428791905969</v>
      </c>
      <c r="F219" s="244">
        <v>0.103447845348919</v>
      </c>
      <c r="G219" s="243">
        <v>0.09346875924001949</v>
      </c>
      <c r="H219" s="244">
        <v>16.4425539587104</v>
      </c>
    </row>
    <row r="220" spans="2:8" ht="15.75">
      <c r="B220" s="28">
        <v>48453001782</v>
      </c>
      <c r="C220" s="243">
        <v>0.0268759653046548</v>
      </c>
      <c r="D220" s="244">
        <v>0.818274669682706</v>
      </c>
      <c r="E220" s="244">
        <v>94.480993034622</v>
      </c>
      <c r="F220" s="244">
        <v>0.292390309053871</v>
      </c>
      <c r="G220" s="243">
        <v>0.07192998799557179</v>
      </c>
      <c r="H220" s="244">
        <v>14.4053031029199</v>
      </c>
    </row>
    <row r="221" spans="2:8" ht="15.75">
      <c r="B221" s="28">
        <v>48453002500</v>
      </c>
      <c r="C221" s="243">
        <v>0.0255229617472755</v>
      </c>
      <c r="D221" s="244">
        <v>0.869882391070882</v>
      </c>
      <c r="E221" s="244">
        <v>107.54581308687</v>
      </c>
      <c r="F221" s="244">
        <v>0.204713767443017</v>
      </c>
      <c r="G221" s="243">
        <v>0.08326515402810569</v>
      </c>
      <c r="H221" s="244">
        <v>17.1908677922296</v>
      </c>
    </row>
    <row r="222" spans="2:8" ht="15.75">
      <c r="B222" s="28">
        <v>48453002212</v>
      </c>
      <c r="C222" s="243">
        <v>0.00819254601117763</v>
      </c>
      <c r="D222" s="244">
        <v>0.476685972599258</v>
      </c>
      <c r="E222" s="244">
        <v>64.5650920716551</v>
      </c>
      <c r="F222" s="244">
        <v>0.222019</v>
      </c>
      <c r="G222" s="243">
        <v>0.0384559258765164</v>
      </c>
      <c r="H222" s="244">
        <v>7.15381588896981</v>
      </c>
    </row>
    <row r="223" spans="2:8" ht="15.75">
      <c r="B223" s="28">
        <v>48453002432</v>
      </c>
      <c r="C223" s="243">
        <v>0.0186043029303805</v>
      </c>
      <c r="D223" s="244">
        <v>0.648445411892555</v>
      </c>
      <c r="E223" s="244">
        <v>81.5570547530248</v>
      </c>
      <c r="F223" s="244">
        <v>0.222019</v>
      </c>
      <c r="G223" s="243">
        <v>0.0458174499846731</v>
      </c>
      <c r="H223" s="244">
        <v>8.55824568138682</v>
      </c>
    </row>
    <row r="224" spans="2:8" ht="15.75">
      <c r="B224" s="28">
        <v>48453002435</v>
      </c>
      <c r="C224" s="243">
        <v>0.0114130938117792</v>
      </c>
      <c r="D224" s="244">
        <v>0.468114838587622</v>
      </c>
      <c r="E224" s="244">
        <v>60.3795889240035</v>
      </c>
      <c r="F224" s="244">
        <v>0.222019</v>
      </c>
      <c r="G224" s="243">
        <v>0.063580675474963</v>
      </c>
      <c r="H224" s="244">
        <v>6.95549751455194</v>
      </c>
    </row>
  </sheetData>
  <sheetProtection/>
  <mergeCells count="1">
    <mergeCell ref="A2:H2"/>
  </mergeCells>
  <printOptions/>
  <pageMargins left="0.7" right="0.7" top="0.75" bottom="0.75" header="0.3" footer="0.3"/>
  <pageSetup orientation="portrait" scale="63"/>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Carlton</dc:creator>
  <cp:keywords/>
  <dc:description/>
  <cp:lastModifiedBy>Avioli, Lauren</cp:lastModifiedBy>
  <dcterms:created xsi:type="dcterms:W3CDTF">2017-04-28T20:31:56Z</dcterms:created>
  <dcterms:modified xsi:type="dcterms:W3CDTF">2018-05-31T14:38:12Z</dcterms:modified>
  <cp:category/>
  <cp:version/>
  <cp:contentType/>
  <cp:contentStatus/>
</cp:coreProperties>
</file>